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90" windowWidth="20115" windowHeight="7755"/>
  </bookViews>
  <sheets>
    <sheet name="BDI" sheetId="7" r:id="rId1"/>
    <sheet name="orçamento" sheetId="8" r:id="rId2"/>
    <sheet name="cronograma" sheetId="9" r:id="rId3"/>
  </sheets>
  <externalReferences>
    <externalReference r:id="rId4"/>
  </externalReferences>
  <definedNames>
    <definedName name="_xlnm.Print_Area" localSheetId="0">BDI!$J$1:$S$57</definedName>
    <definedName name="_xlnm.Print_Area" localSheetId="2">cronograma!$B$1:$T$33</definedName>
    <definedName name="_xlnm.Print_Area" localSheetId="1">orçamento!$A$1:$I$164</definedName>
    <definedName name="BDI.Opcao" hidden="1">[1]DADOS!$F$18</definedName>
    <definedName name="BDI.TipoObra" hidden="1">[1]BDI!$A$138:$A$146</definedName>
    <definedName name="DESONERACAO" hidden="1">IF(OR(Import.Desoneracao="DESONERADO",Import.Desoneracao="SIM"),"SIM","NÃO")</definedName>
    <definedName name="Import.Apelido" hidden="1">[1]DADOS!$F$16</definedName>
    <definedName name="Import.CR" hidden="1">[1]DADOS!$F$7</definedName>
    <definedName name="Import.DescLote" hidden="1">[1]DADOS!$F$17</definedName>
    <definedName name="Import.Desoneracao" hidden="1">OFFSET([1]DADOS!$G$18,0,-1)</definedName>
    <definedName name="Import.Município" hidden="1">[1]DADOS!$F$6</definedName>
    <definedName name="Import.Proponente" hidden="1">[1]DADOS!$F$5</definedName>
    <definedName name="Import.RespOrçamento" hidden="1">[1]DADOS!$F$22:$F$24</definedName>
    <definedName name="Import.SICONV" hidden="1">[1]DADOS!$F$8</definedName>
    <definedName name="NCOMPOSICOES">15</definedName>
    <definedName name="NCOTACOES">15</definedName>
    <definedName name="ORÇAMENTO.BancoRef" localSheetId="1" hidden="1">orçamento!$F$8</definedName>
    <definedName name="ORÇAMENTO.BancoRef" hidden="1">#REF!</definedName>
    <definedName name="REFERENCIA.Descricao" localSheetId="1" hidden="1">IF(ISNUMBER(orçamento!$W1),OFFSET(INDIRECT(orçamento!ORÇAMENTO.BancoRef),orçamento!$W1-1,3,1),orçamento!$W1)</definedName>
    <definedName name="REFERENCIA.Descricao" hidden="1">IF(ISNUMBER(#REF!),OFFSET(INDIRECT(ORÇAMENTO.BancoRef),#REF!-1,3,1),#REF!)</definedName>
  </definedNames>
  <calcPr calcId="145621"/>
</workbook>
</file>

<file path=xl/calcChain.xml><?xml version="1.0" encoding="utf-8"?>
<calcChain xmlns="http://schemas.openxmlformats.org/spreadsheetml/2006/main">
  <c r="C29" i="9" l="1"/>
  <c r="B29" i="9"/>
  <c r="C26" i="9"/>
  <c r="B26" i="9"/>
  <c r="C23" i="9"/>
  <c r="B23" i="9"/>
  <c r="C20" i="9"/>
  <c r="B20" i="9"/>
  <c r="C17" i="9"/>
  <c r="B17" i="9"/>
  <c r="C14" i="9"/>
  <c r="B14" i="9"/>
  <c r="S14" i="9" l="1"/>
  <c r="I29" i="9"/>
  <c r="V29" i="9" s="1"/>
  <c r="O26" i="9"/>
  <c r="K23" i="9"/>
  <c r="V23" i="9" s="1"/>
  <c r="O20" i="9"/>
  <c r="M20" i="9"/>
  <c r="S17" i="9"/>
  <c r="O14" i="9"/>
  <c r="K14" i="9"/>
  <c r="I14" i="9"/>
  <c r="K8" i="9"/>
  <c r="H14" i="8"/>
  <c r="H162" i="8"/>
  <c r="H161" i="8"/>
  <c r="H160" i="8"/>
  <c r="H159" i="8"/>
  <c r="H158" i="8"/>
  <c r="H156" i="8"/>
  <c r="H155" i="8"/>
  <c r="H154" i="8"/>
  <c r="H153" i="8"/>
  <c r="H151" i="8"/>
  <c r="H150" i="8"/>
  <c r="H149" i="8"/>
  <c r="H148" i="8"/>
  <c r="H147" i="8"/>
  <c r="H146" i="8"/>
  <c r="H145" i="8"/>
  <c r="H143" i="8"/>
  <c r="H142" i="8"/>
  <c r="H141" i="8"/>
  <c r="H139" i="8"/>
  <c r="H138" i="8"/>
  <c r="H137" i="8"/>
  <c r="H135" i="8"/>
  <c r="H132" i="8"/>
  <c r="H130" i="8"/>
  <c r="H129" i="8"/>
  <c r="H128" i="8"/>
  <c r="H126" i="8"/>
  <c r="H124" i="8"/>
  <c r="H123" i="8"/>
  <c r="H122" i="8"/>
  <c r="H121" i="8"/>
  <c r="H120" i="8"/>
  <c r="H118" i="8"/>
  <c r="H117" i="8"/>
  <c r="H116" i="8"/>
  <c r="H115" i="8"/>
  <c r="H114" i="8"/>
  <c r="H113" i="8"/>
  <c r="H112" i="8"/>
  <c r="H111" i="8"/>
  <c r="H110" i="8"/>
  <c r="H109" i="8"/>
  <c r="H108" i="8"/>
  <c r="H107" i="8"/>
  <c r="H106" i="8"/>
  <c r="H105" i="8"/>
  <c r="H104" i="8"/>
  <c r="H103" i="8"/>
  <c r="H102" i="8"/>
  <c r="H101" i="8"/>
  <c r="H100" i="8"/>
  <c r="H98" i="8"/>
  <c r="H97" i="8"/>
  <c r="H96" i="8"/>
  <c r="H95" i="8"/>
  <c r="H94" i="8"/>
  <c r="H93" i="8"/>
  <c r="H92" i="8"/>
  <c r="H91" i="8"/>
  <c r="H90" i="8"/>
  <c r="H89" i="8"/>
  <c r="H88" i="8"/>
  <c r="H87" i="8"/>
  <c r="H86" i="8"/>
  <c r="H85" i="8"/>
  <c r="H84" i="8"/>
  <c r="H83" i="8"/>
  <c r="H82" i="8"/>
  <c r="H81" i="8"/>
  <c r="H80" i="8"/>
  <c r="H79" i="8"/>
  <c r="H78" i="8"/>
  <c r="H77" i="8"/>
  <c r="H75" i="8"/>
  <c r="H73" i="8"/>
  <c r="H72" i="8"/>
  <c r="H71" i="8"/>
  <c r="H70" i="8"/>
  <c r="H69" i="8"/>
  <c r="H68" i="8"/>
  <c r="H66" i="8"/>
  <c r="H65" i="8"/>
  <c r="H64" i="8"/>
  <c r="H63" i="8"/>
  <c r="H62" i="8"/>
  <c r="H61" i="8"/>
  <c r="H59" i="8"/>
  <c r="H58" i="8"/>
  <c r="H56" i="8"/>
  <c r="H55" i="8"/>
  <c r="H53" i="8"/>
  <c r="H52" i="8"/>
  <c r="H51" i="8"/>
  <c r="H49" i="8"/>
  <c r="H48" i="8"/>
  <c r="H47" i="8"/>
  <c r="H46" i="8"/>
  <c r="H45" i="8"/>
  <c r="H44" i="8"/>
  <c r="H43" i="8"/>
  <c r="H42" i="8"/>
  <c r="H40" i="8"/>
  <c r="H39" i="8"/>
  <c r="H38" i="8"/>
  <c r="H37" i="8"/>
  <c r="H35" i="8"/>
  <c r="H34" i="8"/>
  <c r="H32" i="8"/>
  <c r="H31" i="8"/>
  <c r="H30" i="8"/>
  <c r="H29" i="8"/>
  <c r="H28" i="8"/>
  <c r="H26" i="8"/>
  <c r="H25" i="8"/>
  <c r="H24" i="8"/>
  <c r="H23" i="8"/>
  <c r="H22" i="8"/>
  <c r="H21" i="8"/>
  <c r="H20" i="8"/>
  <c r="H19" i="8"/>
  <c r="H17" i="8"/>
  <c r="H13" i="8"/>
  <c r="Q14" i="9" l="1"/>
  <c r="G32" i="9"/>
  <c r="H23" i="9" s="1"/>
  <c r="M14" i="9"/>
  <c r="O17" i="9"/>
  <c r="O32" i="9" s="1"/>
  <c r="I20" i="9"/>
  <c r="Q20" i="9"/>
  <c r="S26" i="9"/>
  <c r="I17" i="9"/>
  <c r="I33" i="9" s="1"/>
  <c r="Q17" i="9"/>
  <c r="K20" i="9"/>
  <c r="S20" i="9"/>
  <c r="M26" i="9"/>
  <c r="M17" i="9"/>
  <c r="Q26" i="9"/>
  <c r="K17" i="9"/>
  <c r="I154" i="8"/>
  <c r="I162" i="8"/>
  <c r="I161" i="8"/>
  <c r="I160" i="8"/>
  <c r="I159" i="8"/>
  <c r="I158" i="8"/>
  <c r="I156" i="8"/>
  <c r="I155" i="8"/>
  <c r="I153" i="8"/>
  <c r="I151" i="8"/>
  <c r="I150" i="8"/>
  <c r="I149" i="8"/>
  <c r="I148" i="8"/>
  <c r="I147" i="8"/>
  <c r="I146" i="8"/>
  <c r="I145" i="8"/>
  <c r="I143" i="8"/>
  <c r="I142" i="8"/>
  <c r="I141" i="8"/>
  <c r="I139" i="8"/>
  <c r="I138" i="8"/>
  <c r="I137" i="8"/>
  <c r="I135" i="8"/>
  <c r="I132" i="8"/>
  <c r="I131" i="8" s="1"/>
  <c r="I130" i="8"/>
  <c r="I129" i="8"/>
  <c r="I128" i="8"/>
  <c r="I126" i="8"/>
  <c r="I125" i="8" s="1"/>
  <c r="I124" i="8"/>
  <c r="I123" i="8"/>
  <c r="I122" i="8"/>
  <c r="I121" i="8"/>
  <c r="I120" i="8"/>
  <c r="I118" i="8"/>
  <c r="I117" i="8"/>
  <c r="I116" i="8"/>
  <c r="I115" i="8"/>
  <c r="I114" i="8"/>
  <c r="I113" i="8"/>
  <c r="I112" i="8"/>
  <c r="I111" i="8"/>
  <c r="I110" i="8"/>
  <c r="I109" i="8"/>
  <c r="I108" i="8"/>
  <c r="I107" i="8"/>
  <c r="I106" i="8"/>
  <c r="I105" i="8"/>
  <c r="I104" i="8"/>
  <c r="I103" i="8"/>
  <c r="I102" i="8"/>
  <c r="I101" i="8"/>
  <c r="I100" i="8"/>
  <c r="I98" i="8"/>
  <c r="I97" i="8"/>
  <c r="I96" i="8"/>
  <c r="I95" i="8"/>
  <c r="I94" i="8"/>
  <c r="I93" i="8"/>
  <c r="I92" i="8"/>
  <c r="I91" i="8"/>
  <c r="I90" i="8"/>
  <c r="I89" i="8"/>
  <c r="I88" i="8"/>
  <c r="I87" i="8"/>
  <c r="I86" i="8"/>
  <c r="I85" i="8"/>
  <c r="I84" i="8"/>
  <c r="I83" i="8"/>
  <c r="I82" i="8"/>
  <c r="I81" i="8"/>
  <c r="I80" i="8"/>
  <c r="I79" i="8"/>
  <c r="I78" i="8"/>
  <c r="I77" i="8"/>
  <c r="I75" i="8"/>
  <c r="I74" i="8" s="1"/>
  <c r="I73" i="8"/>
  <c r="I72" i="8"/>
  <c r="I71" i="8"/>
  <c r="I70" i="8"/>
  <c r="I69" i="8"/>
  <c r="I68" i="8"/>
  <c r="I66" i="8"/>
  <c r="I65" i="8"/>
  <c r="I64" i="8"/>
  <c r="I63" i="8"/>
  <c r="I62" i="8"/>
  <c r="I61" i="8"/>
  <c r="I59" i="8"/>
  <c r="I58" i="8"/>
  <c r="I56" i="8"/>
  <c r="I55" i="8"/>
  <c r="I53" i="8"/>
  <c r="I52" i="8"/>
  <c r="I51" i="8"/>
  <c r="I49" i="8"/>
  <c r="I48" i="8"/>
  <c r="I47" i="8"/>
  <c r="I46" i="8"/>
  <c r="I45" i="8"/>
  <c r="I44" i="8"/>
  <c r="I43" i="8"/>
  <c r="I42" i="8"/>
  <c r="I40" i="8"/>
  <c r="I39" i="8"/>
  <c r="I38" i="8"/>
  <c r="I37" i="8"/>
  <c r="I35" i="8"/>
  <c r="I34" i="8"/>
  <c r="I32" i="8"/>
  <c r="I31" i="8"/>
  <c r="I30" i="8"/>
  <c r="I29" i="8"/>
  <c r="I28" i="8"/>
  <c r="I26" i="8"/>
  <c r="I25" i="8"/>
  <c r="I24" i="8"/>
  <c r="I23" i="8"/>
  <c r="I22" i="8"/>
  <c r="I21" i="8"/>
  <c r="I20" i="8"/>
  <c r="I19" i="8"/>
  <c r="I17" i="8"/>
  <c r="I14" i="8"/>
  <c r="I13" i="8"/>
  <c r="V14" i="9" l="1"/>
  <c r="H26" i="9"/>
  <c r="H17" i="9"/>
  <c r="K32" i="9"/>
  <c r="K33" i="9" s="1"/>
  <c r="P32" i="9"/>
  <c r="I32" i="9"/>
  <c r="J32" i="9" s="1"/>
  <c r="H20" i="9"/>
  <c r="V17" i="9"/>
  <c r="H29" i="9"/>
  <c r="H14" i="9"/>
  <c r="H32" i="9"/>
  <c r="J33" i="9"/>
  <c r="M32" i="9"/>
  <c r="N32" i="9" s="1"/>
  <c r="Q32" i="9"/>
  <c r="R32" i="9" s="1"/>
  <c r="V20" i="9"/>
  <c r="V26" i="9"/>
  <c r="S32" i="9"/>
  <c r="T32" i="9" s="1"/>
  <c r="I12" i="8"/>
  <c r="I157" i="8"/>
  <c r="I152" i="8"/>
  <c r="I144" i="8"/>
  <c r="I16" i="8"/>
  <c r="I33" i="8"/>
  <c r="I57" i="8"/>
  <c r="I36" i="8"/>
  <c r="I54" i="8"/>
  <c r="I50" i="8"/>
  <c r="I18" i="8"/>
  <c r="I76" i="8"/>
  <c r="I41" i="8"/>
  <c r="I60" i="8"/>
  <c r="I27" i="8"/>
  <c r="I127" i="8"/>
  <c r="I134" i="8"/>
  <c r="I99" i="8"/>
  <c r="I119" i="8"/>
  <c r="I136" i="8"/>
  <c r="I140" i="8"/>
  <c r="I67" i="8"/>
  <c r="K50" i="7" a="1"/>
  <c r="K52" i="7" s="1"/>
  <c r="A45" i="7"/>
  <c r="A46" i="7" s="1"/>
  <c r="C44" i="7"/>
  <c r="C43" i="7"/>
  <c r="C42" i="7"/>
  <c r="C41" i="7"/>
  <c r="J40" i="7"/>
  <c r="C40" i="7"/>
  <c r="C39" i="7"/>
  <c r="J38" i="7"/>
  <c r="C38" i="7"/>
  <c r="N35" i="7"/>
  <c r="A33" i="7"/>
  <c r="A34" i="7" s="1"/>
  <c r="C32" i="7"/>
  <c r="S28" i="7"/>
  <c r="S27" i="7"/>
  <c r="S29" i="7" s="1"/>
  <c r="C27" i="7"/>
  <c r="A27" i="7"/>
  <c r="A28" i="7" s="1"/>
  <c r="C26" i="7"/>
  <c r="R25" i="7"/>
  <c r="J25" i="7"/>
  <c r="R24" i="7"/>
  <c r="J24" i="7"/>
  <c r="R23" i="7"/>
  <c r="J23" i="7"/>
  <c r="R22" i="7"/>
  <c r="J22" i="7"/>
  <c r="R21" i="7"/>
  <c r="J21" i="7"/>
  <c r="A21" i="7"/>
  <c r="A22" i="7" s="1"/>
  <c r="C22" i="7" s="1"/>
  <c r="C20" i="7"/>
  <c r="A15" i="7"/>
  <c r="A16" i="7" s="1"/>
  <c r="C14" i="7"/>
  <c r="C13" i="7"/>
  <c r="C12" i="7"/>
  <c r="C11" i="7"/>
  <c r="C10" i="7"/>
  <c r="C9" i="7"/>
  <c r="J8" i="7"/>
  <c r="C8" i="7"/>
  <c r="N5" i="7"/>
  <c r="L5" i="7"/>
  <c r="J5" i="7"/>
  <c r="A3" i="7"/>
  <c r="A4" i="7" s="1"/>
  <c r="C2" i="7"/>
  <c r="O1" i="7"/>
  <c r="L32" i="9" l="1"/>
  <c r="V32" i="9"/>
  <c r="L33" i="9"/>
  <c r="M33" i="9"/>
  <c r="I15" i="8"/>
  <c r="I133" i="8"/>
  <c r="A5" i="7"/>
  <c r="C4" i="7"/>
  <c r="X21" i="7"/>
  <c r="Y22" i="7"/>
  <c r="C3" i="7"/>
  <c r="Y21" i="7"/>
  <c r="C21" i="7"/>
  <c r="Z23" i="7"/>
  <c r="C5" i="7"/>
  <c r="Y24" i="7" s="1"/>
  <c r="A6" i="7"/>
  <c r="C28" i="7"/>
  <c r="A29" i="7"/>
  <c r="A35" i="7"/>
  <c r="C34" i="7"/>
  <c r="C16" i="7"/>
  <c r="A17" i="7"/>
  <c r="A47" i="7"/>
  <c r="C46" i="7"/>
  <c r="C15" i="7"/>
  <c r="Z21" i="7"/>
  <c r="A23" i="7"/>
  <c r="X23" i="7"/>
  <c r="C33" i="7"/>
  <c r="C45" i="7"/>
  <c r="K50" i="7"/>
  <c r="X22" i="7"/>
  <c r="Y23" i="7"/>
  <c r="S30" i="7"/>
  <c r="K51" i="7"/>
  <c r="Z22" i="7"/>
  <c r="O33" i="9" l="1"/>
  <c r="N33" i="9"/>
  <c r="I164" i="8"/>
  <c r="I171" i="8" s="1"/>
  <c r="X24" i="7"/>
  <c r="A24" i="7"/>
  <c r="C23" i="7"/>
  <c r="A48" i="7"/>
  <c r="C47" i="7"/>
  <c r="A30" i="7"/>
  <c r="C29" i="7"/>
  <c r="A18" i="7"/>
  <c r="C17" i="7"/>
  <c r="Z24" i="7"/>
  <c r="A7" i="7"/>
  <c r="C7" i="7" s="1"/>
  <c r="Z29" i="7" s="1"/>
  <c r="C6" i="7"/>
  <c r="A36" i="7"/>
  <c r="C35" i="7"/>
  <c r="P33" i="9" l="1"/>
  <c r="Q33" i="9"/>
  <c r="C18" i="7"/>
  <c r="A19" i="7"/>
  <c r="C19" i="7" s="1"/>
  <c r="C36" i="7"/>
  <c r="A37" i="7"/>
  <c r="C37" i="7" s="1"/>
  <c r="A31" i="7"/>
  <c r="C31" i="7" s="1"/>
  <c r="C30" i="7"/>
  <c r="A25" i="7"/>
  <c r="C25" i="7" s="1"/>
  <c r="C24" i="7"/>
  <c r="Y25" i="7"/>
  <c r="Z25" i="7"/>
  <c r="X25" i="7"/>
  <c r="Y29" i="7"/>
  <c r="X29" i="7"/>
  <c r="U29" i="7" s="1"/>
  <c r="A49" i="7"/>
  <c r="C49" i="7" s="1"/>
  <c r="C48" i="7"/>
  <c r="S33" i="9" l="1"/>
  <c r="T33" i="9" s="1"/>
  <c r="R33" i="9"/>
  <c r="K32" i="7"/>
  <c r="J32" i="7"/>
</calcChain>
</file>

<file path=xl/comments1.xml><?xml version="1.0" encoding="utf-8"?>
<comments xmlns="http://schemas.openxmlformats.org/spreadsheetml/2006/main">
  <authors>
    <author/>
  </authors>
  <commentList>
    <comment ref="I6" authorId="0">
      <text>
        <r>
          <rPr>
            <b/>
            <sz val="9"/>
            <color indexed="8"/>
            <rFont val="Tahoma"/>
            <family val="2"/>
          </rPr>
          <t xml:space="preserve">FILTRO:
</t>
        </r>
        <r>
          <rPr>
            <sz val="9"/>
            <color indexed="8"/>
            <rFont val="Tahoma"/>
            <family val="2"/>
          </rPr>
          <t>Após a conclusão do Orçamento, utilize o filtro nessa coluna com o valor "F" para ocultar linhas não utilizadas.</t>
        </r>
      </text>
    </comment>
  </commentList>
</comments>
</file>

<file path=xl/sharedStrings.xml><?xml version="1.0" encoding="utf-8"?>
<sst xmlns="http://schemas.openxmlformats.org/spreadsheetml/2006/main" count="863" uniqueCount="461">
  <si>
    <t>M2</t>
  </si>
  <si>
    <t>MES</t>
  </si>
  <si>
    <t>M</t>
  </si>
  <si>
    <t>M3</t>
  </si>
  <si>
    <t>KG</t>
  </si>
  <si>
    <t>UN</t>
  </si>
  <si>
    <t>M3XKM</t>
  </si>
  <si>
    <t>Item</t>
  </si>
  <si>
    <t>Fonte</t>
  </si>
  <si>
    <t>Macrosserviço / Serviço</t>
  </si>
  <si>
    <t>Qtd.</t>
  </si>
  <si>
    <t>Und.</t>
  </si>
  <si>
    <t>Custo Referência</t>
  </si>
  <si>
    <t>Preço Total</t>
  </si>
  <si>
    <t>SERVIÇOS INICIAIS</t>
  </si>
  <si>
    <t>1.1</t>
  </si>
  <si>
    <t>SINAPI</t>
  </si>
  <si>
    <t>1.2</t>
  </si>
  <si>
    <t>QUIOSQUE</t>
  </si>
  <si>
    <t>2.1</t>
  </si>
  <si>
    <t>LOCACAO CONVENCIONAL DE OBRA, UTILIZANDO GABARITO DE TÁBUAS CORRIDAS PONTALETADAS A CADA 2,00M - 2 UTILIZAÇÕES. AF_10/2018</t>
  </si>
  <si>
    <t>2.2</t>
  </si>
  <si>
    <t>2.3</t>
  </si>
  <si>
    <t>2.4</t>
  </si>
  <si>
    <t>2.5</t>
  </si>
  <si>
    <t>REATERRO MANUAL APILOADO COM SOQUETE. AF_10/2017</t>
  </si>
  <si>
    <t>2.6</t>
  </si>
  <si>
    <t>2.7</t>
  </si>
  <si>
    <t>ARMAÇÃO DE CORTINA DE CONTENÇÃO EM CONCRETO ARMADO, COM AÇO CA-50 DE 12,5 MM - MONTAGEM. AF_07/2019</t>
  </si>
  <si>
    <t>2.8</t>
  </si>
  <si>
    <t>CONCRETO USINADO BOMBEAVEL, CLASSE DE RESISTENCIA C30, COM BRITA 0 E 1, SLUMP = 100 +/- 20 MM, INCLUI SERVICO DE BOMBEAMENTO (NBR 8953)</t>
  </si>
  <si>
    <t>2.9</t>
  </si>
  <si>
    <t>LANÇAMENTO COM USO DE BOMBA, ADENSAMENTO E ACABAMENTO DE CONCRETO EM ESTRUTURAS. AF_12/2015</t>
  </si>
  <si>
    <t>2.10</t>
  </si>
  <si>
    <t>FABRICAÇÃO, MONTAGEM E DESMONTAGEM DE FÔRMA PARA BLOCO DE COROAMENTO, EM MADEIRA SERRADA, E=25 MM, 2 UTILIZAÇÕES. AF_06/2017</t>
  </si>
  <si>
    <t>2.11</t>
  </si>
  <si>
    <t>2.12</t>
  </si>
  <si>
    <t>2.13</t>
  </si>
  <si>
    <t>2.14</t>
  </si>
  <si>
    <t>2.15</t>
  </si>
  <si>
    <t>IMPERMEABILIZAÇÃO DE PAREDES COM ARGAMASSA DE CIMENTO E AREIA, COM ADITIVO IMPERMEABILIZANTE, E = 2CM. AF_06/2018</t>
  </si>
  <si>
    <t>2.16</t>
  </si>
  <si>
    <t>IMPERMEABILIZAÇÃO DE SUPERFÍCIE COM ARGAMASSA POLIMÉRICA / MEMBRANA ACRÍLICA, 3 DEMÃOS. AF_06/2018</t>
  </si>
  <si>
    <t>2.17</t>
  </si>
  <si>
    <t>2.18</t>
  </si>
  <si>
    <t>2.19</t>
  </si>
  <si>
    <t>VERGA MOLDADA IN LOCO EM CONCRETO PARA JANELAS COM ATÉ 1,5 M DE VÃO. AF_03/2016</t>
  </si>
  <si>
    <t>2.20</t>
  </si>
  <si>
    <t>VERGA MOLDADA IN LOCO EM CONCRETO PARA PORTAS COM ATÉ 1,5 M DE VÃO. AF_03/2016</t>
  </si>
  <si>
    <t>2.21</t>
  </si>
  <si>
    <t>TRAMA DE MADEIRA COMPOSTA POR TERÇAS PARA TELHADOS DE ATÉ 2 ÁGUAS PARA TELHA ONDULADA DE FIBROCIMENTO, METÁLICA, PLÁSTICA OU TERMOACÚSTICA, INCLUSO TRANSPORTE VERTICAL. AF_07/2019</t>
  </si>
  <si>
    <t>2.22</t>
  </si>
  <si>
    <t>2.23</t>
  </si>
  <si>
    <t>RUFO EM CHAPA DE AÇO GALVANIZADO NÚMERO 24, CORTE DE 25 CM, INCLUSO TRANSPORTE VERTICAL. AF_07/2019</t>
  </si>
  <si>
    <t>2.24</t>
  </si>
  <si>
    <t>CALHA EM CHAPA DE AÇO GALVANIZADO NÚMERO 24, DESENVOLVIMENTO DE 50 CM, INCLUSO TRANSPORTE VERTICAL. AF_07/2019</t>
  </si>
  <si>
    <t>2.25</t>
  </si>
  <si>
    <t>2.26</t>
  </si>
  <si>
    <t>TUBO PVC, SÉRIE R, ÁGUA PLUVIAL, DN 75 MM, FORNECIDO E INSTALADO EM CONDUTORES VERTICAIS DE ÁGUAS PLUVIAIS. AF_12/2014</t>
  </si>
  <si>
    <t>2.27</t>
  </si>
  <si>
    <t>JOELHO 90 GRAUS, PVC, SERIE R, ÁGUA PLUVIAL, DN 75 MM, JUNTA ELÁSTICA, FORNECIDO E INSTALADO EM RAMAL DE ENCAMINHAMENTO. AF_12/2014</t>
  </si>
  <si>
    <t>2.28</t>
  </si>
  <si>
    <t>2.29</t>
  </si>
  <si>
    <t>EMBOÇO OU MASSA ÚNICA EM ARGAMASSA TRAÇO 1:2:8, PREPARO MECÂNICO COM BETONEIRA 400 L, APLICADA MANUALMENTE EM PANOS DE FACHADA COM PRESENÇA DE VÃOS, ESPESSURA DE 25 MM. AF_06/2014</t>
  </si>
  <si>
    <t>2.30</t>
  </si>
  <si>
    <t>REVESTIMENTO CERÂMICO PARA PAREDES INTERNAS COM PLACAS TIPO ESMALTADA EXTRA DE DIMENSÕES 20X20 CM APLICADAS EM AMBIENTES DE ÁREA MAIOR QUE 5 M² NA ALTURA INTEIRA DAS PAREDES. AF_06/2014</t>
  </si>
  <si>
    <t>2.31</t>
  </si>
  <si>
    <t>2.32</t>
  </si>
  <si>
    <t>CHAPISCO APLICADO NO TETO, COM ROLO PARA TEXTURA ACRÍLICA. ARGAMASSA TRAÇO 1:4 E EMULSÃO POLIMÉRICA (ADESIVO) COM PREPARO MANUAL. AF_06/2014</t>
  </si>
  <si>
    <t>2.33</t>
  </si>
  <si>
    <t>2.34</t>
  </si>
  <si>
    <t>2.35</t>
  </si>
  <si>
    <t>2.36</t>
  </si>
  <si>
    <t>2.37</t>
  </si>
  <si>
    <t>2.38</t>
  </si>
  <si>
    <t>2.39</t>
  </si>
  <si>
    <t>REVESTIMENTO CERÂMICO PARA PISO COM PLACAS TIPO ESMALTADA EXTRA DE DIMENSÕES 35X35 CM APLICADA EM AMBIENTES DE ÁREA MAIOR QUE 10 M2. AF_06/2014</t>
  </si>
  <si>
    <t>2.40</t>
  </si>
  <si>
    <t>2.41</t>
  </si>
  <si>
    <t>2.42</t>
  </si>
  <si>
    <t>2.43</t>
  </si>
  <si>
    <t>2.44</t>
  </si>
  <si>
    <t>2.45</t>
  </si>
  <si>
    <t>GRADIL EM FERRO FIXADO EM VÃOS DE JANELAS, FORMADO POR BARRAS CHATAS DE 25X4,8 MM. AF_04/2019</t>
  </si>
  <si>
    <t>2.46</t>
  </si>
  <si>
    <t>2.47</t>
  </si>
  <si>
    <t>PORTA DE CORRER EM ALUMINIO, DUAS FOLHAS MOVEIS COM VIDRO, FECHADURA E PUXADOR EMBUTIDO, ACABAMENTO ANODIZADO NATURAL, SEM GUARNICAO/ALIZAR/VISTA</t>
  </si>
  <si>
    <t>2.48</t>
  </si>
  <si>
    <t>GRANITO PARA BANCADA, POLIDO, TIPO ANDORINHA/ QUARTZ/ CASTELO/ CORUMBA OU OUTROS EQUIVALENTES DA REGIAO, E= *2,5* CM</t>
  </si>
  <si>
    <t>2.49</t>
  </si>
  <si>
    <t>CUBA ACO INOX (AISI 304) DE EMBUTIR COM VALVULA DE 3 1/2 ", DE *56 X 33 X 12* CM</t>
  </si>
  <si>
    <t>2.50</t>
  </si>
  <si>
    <t>2.51</t>
  </si>
  <si>
    <t>2.52</t>
  </si>
  <si>
    <t>2.53</t>
  </si>
  <si>
    <t>2.54</t>
  </si>
  <si>
    <t>2.55</t>
  </si>
  <si>
    <t>2.56</t>
  </si>
  <si>
    <t>TUBO, PVC, SOLDÁVEL, DN 25MM, INSTALADO EM RAMAL DE DISTRIBUIÇÃO DE ÁGUA - FORNECIMENTO E INSTALAÇÃO. AF_12/2014</t>
  </si>
  <si>
    <t>2.57</t>
  </si>
  <si>
    <t>2.58</t>
  </si>
  <si>
    <t>JOELHO 90 GRAUS COM BUCHA DE LATÃO, PVC, SOLDÁVEL, DN 25MM, X 1/2 INSTALADO EM RAMAL OU SUB-RAMAL DE ÁGUA - FORNECIMENTO E INSTALAÇÃO. AF_12/2014</t>
  </si>
  <si>
    <t>2.59</t>
  </si>
  <si>
    <t>TE, PVC, SOLDÁVEL, DN 25MM, INSTALADO EM RAMAL OU SUB-RAMAL DE ÁGUA - FORNECIMENTO E INSTALAÇÃO. AF_12/2014</t>
  </si>
  <si>
    <t>2.60</t>
  </si>
  <si>
    <t>JOELHO 90 GRAUS, PVC, SOLDÁVEL, DN 25MM, INSTALADO EM RAMAL DE DISTRIBUIÇÃO DE ÁGUA - FORNECIMENTO E INSTALAÇÃO. AF_12/2014</t>
  </si>
  <si>
    <t>2.61</t>
  </si>
  <si>
    <t>2.62</t>
  </si>
  <si>
    <t>Outros</t>
  </si>
  <si>
    <t>2.63</t>
  </si>
  <si>
    <t>CAIXA SIFONADA, PVC, DN 150 X 185 X 75 MM, FORNECIDA E INSTALADA EM RAMAIS DE ENCAMINHAMENTO DE ÁGUA PLUVIAL. AF_12/2014</t>
  </si>
  <si>
    <t>2.64</t>
  </si>
  <si>
    <t>RALO SIFONADO, PVC, DN 100 X 40 MM, JUNTA SOLDÁVEL, FORNECIDO E INSTALADO EM RAMAL DE DESCARGA OU EM RAMAL DE ESGOTO SANITÁRIO. AF_12/2014</t>
  </si>
  <si>
    <t>2.65</t>
  </si>
  <si>
    <t>2.66</t>
  </si>
  <si>
    <t>TUBO PVC, SERIE NORMAL, ESGOTO PREDIAL, DN 40 MM, FORNECIDO E INSTALADO EM RAMAL DE DESCARGA OU RAMAL DE ESGOTO SANITÁRIO. AF_12/2014</t>
  </si>
  <si>
    <t>2.67</t>
  </si>
  <si>
    <t>TUBO PVC, SERIE NORMAL, ESGOTO PREDIAL, DN 50 MM, FORNECIDO E INSTALADO EM RAMAL DE DESCARGA OU RAMAL DE ESGOTO SANITÁRIO. AF_12/2014</t>
  </si>
  <si>
    <t>2.68</t>
  </si>
  <si>
    <t>TUBO PVC, SERIE NORMAL, ESGOTO PREDIAL, DN 75 MM, FORNECIDO E INSTALADO EM RAMAL DE DESCARGA OU RAMAL DE ESGOTO SANITÁRIO. AF_12/2014</t>
  </si>
  <si>
    <t>2.69</t>
  </si>
  <si>
    <t>TUBO PVC, SERIE NORMAL, ESGOTO PREDIAL, DN 100 MM, FORNECIDO E INSTALADO EM RAMAL DE DESCARGA OU RAMAL DE ESGOTO SANITÁRIO. AF_12/2014</t>
  </si>
  <si>
    <t>2.70</t>
  </si>
  <si>
    <t>JOELHO 90 GRAUS, PVC, SERIE NORMAL, ESGOTO PREDIAL, DN 100 MM, JUNTA ELÁSTICA, FORNECIDO E INSTALADO EM RAMAL DE DESCARGA OU RAMAL DE ESGOTO SANITÁRIO. AF_12/2014</t>
  </si>
  <si>
    <t>2.71</t>
  </si>
  <si>
    <t>2.72</t>
  </si>
  <si>
    <t>2.73</t>
  </si>
  <si>
    <t>2.74</t>
  </si>
  <si>
    <t>2.75</t>
  </si>
  <si>
    <t>2.76</t>
  </si>
  <si>
    <t>Supressor de surto monofásico, Fase-Terra, In 4 a 11 kA, Imax. de surto de 12 até 15 kA</t>
  </si>
  <si>
    <t>2.77</t>
  </si>
  <si>
    <t>2.78</t>
  </si>
  <si>
    <t>2.79</t>
  </si>
  <si>
    <t>2.80</t>
  </si>
  <si>
    <t>2.81</t>
  </si>
  <si>
    <t>ELETRODUTO FLEXÍVEL CORRUGADO REFORÇADO, PVC, DN 25 MM (3/4"), PARA CIRCUITOS TERMINAIS, INSTALADO EM PAREDE - FORNECIMENTO E INSTALAÇÃO. AF_12/2015</t>
  </si>
  <si>
    <t>2.82</t>
  </si>
  <si>
    <t>CABO DE COBRE FLEXÍVEL ISOLADO, 2,5 MM², ANTI-CHAMA 450/750 V, PARA CIRCUITOS TERMINAIS - FORNECIMENTO E INSTALAÇÃO. AF_12/2015</t>
  </si>
  <si>
    <t>2.83</t>
  </si>
  <si>
    <t>CABO DE COBRE FLEXÍVEL ISOLADO, 16 MM², ANTI-CHAMA 0,6/1,0 KV, PARA CIRCUITOS TERMINAIS - FORNECIMENTO E INSTALAÇÃO. AF_12/2015</t>
  </si>
  <si>
    <t>2.84</t>
  </si>
  <si>
    <t>ELETRODUTO FLEXIVEL, EM ACO GALVANIZADO, REVESTIDO EXTERNAMENTE COM PVC PRETO, DIAMETRO EXTERNO DE 75 MM (2 1/2"), TIPO SEALTUBO</t>
  </si>
  <si>
    <t>2.85</t>
  </si>
  <si>
    <t>TOMADA MÉDIA DE EMBUTIR (1 MÓDULO), 2P+T 20 A, INCLUINDO SUPORTE E PLACA - FORNECIMENTO E INSTALAÇÃO. AF_12/2015</t>
  </si>
  <si>
    <t>2.86</t>
  </si>
  <si>
    <t>INTERRUPTOR SIMPLES (1 MÓDULO), 10A/250V, SEM SUPORTE E SEM PLACA - FORNECIMENTO E INSTALAÇÃO. AF_12/2015</t>
  </si>
  <si>
    <t>2.87</t>
  </si>
  <si>
    <t>2.88</t>
  </si>
  <si>
    <t>CAIXA DE PASSAGEM, EM PVC, DE 4" X 4", PARA ELETRODUTO FLEXIVEL CORRUGADO</t>
  </si>
  <si>
    <t>2.89</t>
  </si>
  <si>
    <t>CABO DE COBRE FLEXÍVEL ISOLADO, 1,5 MM², ANTI-CHAMA 0,6/1,0 KV, PARA CIRCUITOS TERMINAIS - FORNECIMENTO E INSTALAÇÃO. AF_12/2015</t>
  </si>
  <si>
    <t>CORDOALHA DE COBRE NU 16 MM², NÃO ENTERRADA, COM ISOLADOR - FORNECIMENTO E INSTALAÇÃO. AF_12/2017</t>
  </si>
  <si>
    <t>APLICAÇÃO MANUAL DE PINTURA COM TINTA LÁTEX ACRÍLICA EM TETO, DUAS DEMÃOS. AF_06/2014</t>
  </si>
  <si>
    <t>PISTA DE CAMINHADA</t>
  </si>
  <si>
    <t>3.1</t>
  </si>
  <si>
    <t>LOCAÇÃO DE PAVIMENTAÇÃO. AF_10/2018</t>
  </si>
  <si>
    <t>3.2</t>
  </si>
  <si>
    <t>3.3</t>
  </si>
  <si>
    <t>3.4</t>
  </si>
  <si>
    <t>ASSENTAMENTO DE GUIA (MEIO-FIO) EM TRECHO RETO, CONFECCIONADA EM CONCRETO PRÉ-FABRICADO, DIMENSÕES 100X15X13X20 CM (COMPRIMENTO X BASE INFERIOR X BASE SUPERIOR X ALTURA), PARA URBANIZAÇÃO INTERNA DE EMPREENDIMENTOS. AF_06/2016_P</t>
  </si>
  <si>
    <t>3.5</t>
  </si>
  <si>
    <t>EXECUÇÃO E COMPACTAÇÃO DE BASE E OU SUB BASE PARA PAVIMENTAÇÃO DE BRITA GRADUADA SIMPLES - EXCLUSIVE CARGA E TRANSPORTE. AF_11/2019</t>
  </si>
  <si>
    <t>3.6</t>
  </si>
  <si>
    <t>3.7</t>
  </si>
  <si>
    <t>EXECUÇÃO DE VIA EM PISO INTERTRAVADO, COM BLOCO RETANGULAR COR NATURAL DE 20 X 10 CM, ESPESSURA 8 CM. AF_12/2015</t>
  </si>
  <si>
    <t>DRENAGEM</t>
  </si>
  <si>
    <t>4.1</t>
  </si>
  <si>
    <t>TUBO DE CONCRETO PARA REDES COLETORAS DE ÁGUAS PLUVIAIS, DIÂMETRO DE 400 MM, JUNTA RÍGIDA, INSTALADO EM LOCAL COM BAIXO NÍVEL DE INTERFERÊNCIAS - FORNECIMENTO E ASSENTAMENTO. AF_12/2015</t>
  </si>
  <si>
    <t>4.2</t>
  </si>
  <si>
    <t>4.3</t>
  </si>
  <si>
    <t>REATERRO MECANIZADO DE VALA COM RETROESCAVADEIRA (CAPACIDADE DA CAÇAMBA DA RETRO: 0,26 M³ / POTÊNCIA: 88 HP), LARGURA DE 0,8 A 1,5 M, PROFUNDIDADE DE 1,5 A 3,0 M, COM SOLO (SEM SUBSTITUIÇÃO) DE 1ª CATEGORIA EM LOCAIS COM BAIXO NÍVEL DE INTERFERÊNCIA. AF_04/2016</t>
  </si>
  <si>
    <t>4.4</t>
  </si>
  <si>
    <t>4.5</t>
  </si>
  <si>
    <t>4.6</t>
  </si>
  <si>
    <t>4.7</t>
  </si>
  <si>
    <t>PAISAGISMO</t>
  </si>
  <si>
    <t>5.1</t>
  </si>
  <si>
    <t>5.2</t>
  </si>
  <si>
    <t>5.3</t>
  </si>
  <si>
    <t>PLANTIO DE GRAMA EM PLACAS. AF_05/2018</t>
  </si>
  <si>
    <t>5.4</t>
  </si>
  <si>
    <t>ELEVAÇÃO DO MURO DE ARRIMO</t>
  </si>
  <si>
    <t>6.1</t>
  </si>
  <si>
    <t>ALVENARIA DE BLOCOS DE CONCRETO ESTRUTURAL 14X19X29 CM, (ESPESSURA 14 CM) FBK = 14,0 MPA, PARA PAREDES COM ÁREA LÍQUIDA MENOR QUE 6M², COM VÃOS, UTILIZANDO COLHER DE PEDREIRO. AF_12/2014</t>
  </si>
  <si>
    <t>6.2</t>
  </si>
  <si>
    <t>GRAUTEAMENTO VERTICAL EM ALVENARIA ESTRUTURAL. AF_01/2015</t>
  </si>
  <si>
    <t>6.3</t>
  </si>
  <si>
    <t>MONTAGEM DE ARMADURA LONGITUDINAL DE ESTACAS DE SEÇÃO CIRCULAR, DIÂMETRO = 10,0 MM. AF_11/2016</t>
  </si>
  <si>
    <t>6.4</t>
  </si>
  <si>
    <t>CONTRAPISO EM ARGAMASSA TRAÇO 1:4 (CIMENTO E AREIA), PREPARO MECÂNICO COM BETONEIRA 400 L, APLICADO EM ÁREAS MOLHADAS SOBRE IMPERMEABILIZAÇÃO, ESPESSURA 3CM. AF_06/2014</t>
  </si>
  <si>
    <t>6.5</t>
  </si>
  <si>
    <t>TOTAL</t>
  </si>
  <si>
    <t>Codigo</t>
  </si>
  <si>
    <t>10776</t>
  </si>
  <si>
    <t>99059</t>
  </si>
  <si>
    <t>96995</t>
  </si>
  <si>
    <t>92874</t>
  </si>
  <si>
    <t>Locação</t>
  </si>
  <si>
    <t>Fundação</t>
  </si>
  <si>
    <t>96531</t>
  </si>
  <si>
    <t>100345</t>
  </si>
  <si>
    <t>Estrutura</t>
  </si>
  <si>
    <t>Impermeabilização</t>
  </si>
  <si>
    <t>98561</t>
  </si>
  <si>
    <t>98555</t>
  </si>
  <si>
    <t>Vedação</t>
  </si>
  <si>
    <t>93186</t>
  </si>
  <si>
    <t>93188</t>
  </si>
  <si>
    <t>Cobertura</t>
  </si>
  <si>
    <t>92543</t>
  </si>
  <si>
    <t>7243</t>
  </si>
  <si>
    <t>94231</t>
  </si>
  <si>
    <t>94228</t>
  </si>
  <si>
    <t>89576</t>
  </si>
  <si>
    <t>89522</t>
  </si>
  <si>
    <t>89566</t>
  </si>
  <si>
    <t>Revestimento Interno</t>
  </si>
  <si>
    <t>87775</t>
  </si>
  <si>
    <t>87265</t>
  </si>
  <si>
    <t>10698</t>
  </si>
  <si>
    <t>Revestimento Lajes e Forros</t>
  </si>
  <si>
    <t>87881</t>
  </si>
  <si>
    <t>Revestimento Externo (faixas)</t>
  </si>
  <si>
    <t>99695</t>
  </si>
  <si>
    <t>Limpeza</t>
  </si>
  <si>
    <t>Pintura</t>
  </si>
  <si>
    <t>Vidros</t>
  </si>
  <si>
    <t>88488</t>
  </si>
  <si>
    <t>96971</t>
  </si>
  <si>
    <t>97844</t>
  </si>
  <si>
    <t>34643</t>
  </si>
  <si>
    <t>SPDA</t>
  </si>
  <si>
    <t>Instalções Elétricas</t>
  </si>
  <si>
    <t>Instalções Hidraulicas</t>
  </si>
  <si>
    <t>94275</t>
  </si>
  <si>
    <t>96396</t>
  </si>
  <si>
    <t>92399</t>
  </si>
  <si>
    <t>90092</t>
  </si>
  <si>
    <t>93381</t>
  </si>
  <si>
    <t>92210</t>
  </si>
  <si>
    <t>Pisos e Contra Pisos</t>
  </si>
  <si>
    <t>96624</t>
  </si>
  <si>
    <t>87624</t>
  </si>
  <si>
    <t>87248</t>
  </si>
  <si>
    <t>98695</t>
  </si>
  <si>
    <t>98679</t>
  </si>
  <si>
    <t>99861</t>
  </si>
  <si>
    <t>91338</t>
  </si>
  <si>
    <t>Bancadas</t>
  </si>
  <si>
    <t>86931</t>
  </si>
  <si>
    <t>86874</t>
  </si>
  <si>
    <t>86914</t>
  </si>
  <si>
    <t>ORÇAMENTO</t>
  </si>
  <si>
    <t>OBRA:</t>
  </si>
  <si>
    <t>LOCAL:</t>
  </si>
  <si>
    <t>CONTINUIDADE DO CENTRO ESPORTIVO JARDIM MOREIRINHA - 3ª ETAPA</t>
  </si>
  <si>
    <t>RUA MARIA JOSÉ MOREIRA FRANCO -JARDIM MOREIRINHA</t>
  </si>
  <si>
    <t>DATA BASE SINAPI</t>
  </si>
  <si>
    <t>Nº OPERAÇÃO</t>
  </si>
  <si>
    <t>Nº SICONV</t>
  </si>
  <si>
    <t>PROPONENTE / TOMADOR</t>
  </si>
  <si>
    <t>APELIDO DO EMPREENDIMENTO / DESCRIÇÃO DO LOTE</t>
  </si>
  <si>
    <t>Conforme legislação tributária municipal, definir estimativa de percentual da base de cálculo para o ISS:</t>
  </si>
  <si>
    <t>Sobre a base de cálculo, definir a respectiva alíquota do ISS (entre 2% e 5%):</t>
  </si>
  <si>
    <t>BDI 1</t>
  </si>
  <si>
    <t>TIPO DE OBRA</t>
  </si>
  <si>
    <t>Construção e Reforma de Edifícios</t>
  </si>
  <si>
    <t>Itens</t>
  </si>
  <si>
    <t>Siglas</t>
  </si>
  <si>
    <t>% Adotado</t>
  </si>
  <si>
    <t>AC</t>
  </si>
  <si>
    <t>SG</t>
  </si>
  <si>
    <t>R</t>
  </si>
  <si>
    <t>DF</t>
  </si>
  <si>
    <t>L</t>
  </si>
  <si>
    <t>Tributos (impostos COFINS 3%, e  PIS 0,65%)</t>
  </si>
  <si>
    <t>CP</t>
  </si>
  <si>
    <t>Tributos (ISS, variável de acordo com o município)</t>
  </si>
  <si>
    <t>ISS</t>
  </si>
  <si>
    <t>Tributos (Contribuição Previdenciária sobre a Receita Bruta - 0% ou 4,5% - Desoneração)</t>
  </si>
  <si>
    <t>CPRB</t>
  </si>
  <si>
    <t>BDI SEM desoneração (Fórmula Acórdão TCU)</t>
  </si>
  <si>
    <t>BDI PAD</t>
  </si>
  <si>
    <t>BDI COM desoneração</t>
  </si>
  <si>
    <t>BDI DES</t>
  </si>
  <si>
    <t>Os valores de BDI foram calculados com o emprego da fórmula:</t>
  </si>
  <si>
    <t>BDI =</t>
  </si>
  <si>
    <t xml:space="preserve"> - 1</t>
  </si>
  <si>
    <t>(1-CP-ISS-CRPB)</t>
  </si>
  <si>
    <t>Observações:</t>
  </si>
  <si>
    <t>Local</t>
  </si>
  <si>
    <t>Data</t>
  </si>
  <si>
    <t>Responsável Técnico</t>
  </si>
  <si>
    <t>Nome:</t>
  </si>
  <si>
    <t>CREA/CAU:</t>
  </si>
  <si>
    <t>ART/RRT:</t>
  </si>
  <si>
    <t>VALOR</t>
  </si>
  <si>
    <t xml:space="preserve">PORC. </t>
  </si>
  <si>
    <t>DESCRIÇÃO</t>
  </si>
  <si>
    <t>ITEM</t>
  </si>
  <si>
    <t>MÊS 1</t>
  </si>
  <si>
    <t xml:space="preserve">VALOR </t>
  </si>
  <si>
    <t>PORC.</t>
  </si>
  <si>
    <t>MÊS 2</t>
  </si>
  <si>
    <t>MÊS 3</t>
  </si>
  <si>
    <t>MÊS 4</t>
  </si>
  <si>
    <t>MÊS 5</t>
  </si>
  <si>
    <t>MÊS 6</t>
  </si>
  <si>
    <t>cronograma</t>
  </si>
  <si>
    <t xml:space="preserve"> </t>
  </si>
  <si>
    <t>92212</t>
  </si>
  <si>
    <t>TUBO DE CONCRETO PARA REDES COLETORAS DE ÁGUAS PLUVIAIS, DIÂMETRO DE 600 MM, JUNTA RÍGIDA, INSTALADO EM LOCAL COM BAIXO NÍVEL DE INTERFERÊNCIAS - FORNECIMENTO E ASSENTAMENTO. AF_12/2015</t>
  </si>
  <si>
    <t>99272</t>
  </si>
  <si>
    <t>POÇO DE INSPEÇÃO CIRCULAR PARA DRENAGEM, EM ALVENARIA COM TIJOLOS CERÂMICOS MACIÇOS, DIÂMETRO INTERNO = 0,6 M, PROFUNDIDADE = 1 M, EXCLUINDO TAMPÃO. AF_12/2020</t>
  </si>
  <si>
    <t>94559</t>
  </si>
  <si>
    <t>JANELA DE AÇO TIPO BASCULANTE PARA VIDROS, COM BATENTE, FERRAGENS E PINTURA ANTICORROSIVA. EXCLUSIVE VIDROS, ACABAMENTO, ALIZAR E CONTRAMARCO. FORNECIMENTO E INSTALAÇÃO. AF_12/2019</t>
  </si>
  <si>
    <t>PORTA DE ALUMÍNIO DE ABRIR COM LAMBRI, COM GUARNIÇÃO, FIXAÇÃO COM PARAFUSOS - FORNECIMENTO E INSTALAÇÃO. AF_12/2019</t>
  </si>
  <si>
    <t>101174</t>
  </si>
  <si>
    <t>ESTACA BROCA DE CONCRETO, DIÂMETRO DE 25CM, ESCAVAÇÃO MANUAL COM TRADO CONCHA, COM ARMADURA DE ARRANQUE. AF_05/2020</t>
  </si>
  <si>
    <t>LASTRO COM MATERIAL GRANULAR (PEDRA BRITADA N.2), APLICADO EM PISOS OU LAJES SOBRE SOLO, ESPESSURA DE *10 CM*. AF_08/2017</t>
  </si>
  <si>
    <t>97083</t>
  </si>
  <si>
    <t>97087</t>
  </si>
  <si>
    <t>92270</t>
  </si>
  <si>
    <t>FABRICAÇÃO DE FÔRMA PARA VIGAS, COM MADEIRA SERRADA, E = 25 MM. AF_09/2020</t>
  </si>
  <si>
    <t>101963</t>
  </si>
  <si>
    <t>LAJE PRÉ-MOLDADA UNIDIRECIONAL, BIAPOIADA, PARA PISO, ENCHIMENTO EM CERÂMICA, VIGOTA CONVENCIONAL, ALTURA TOTAL DA LAJE (ENCHIMENTO+CAPA) = (8+4). AF_11/2020</t>
  </si>
  <si>
    <t>101165</t>
  </si>
  <si>
    <t>ALVENARIA DE EMBASAMENTO COM BLOCO ESTRUTURAL DE CONCRETO, DE 14X19X29CM E ARGAMASSA DE ASSENTAMENTO COM PREPARO EM BETONEIRA. AF_05/2020</t>
  </si>
  <si>
    <t>100773</t>
  </si>
  <si>
    <t>ESTRUTURA TRELIÇADA DE COBERTURA, TIPO ARCO, COM LIGAÇÕES SOLDADAS, INCLUSOS PERFIS METÁLICOS, CHAPAS METÁLICAS, MÃO DE OBRA E TRANSPORTE COM GUINDASTE - FORNECIMENTO E INSTALAÇÃO. AF_01/2020_P</t>
  </si>
  <si>
    <t>91855</t>
  </si>
  <si>
    <t>91925</t>
  </si>
  <si>
    <t>91926</t>
  </si>
  <si>
    <t>91935</t>
  </si>
  <si>
    <t>93653</t>
  </si>
  <si>
    <t>DISJUNTOR MONOPOLAR TIPO DIN, CORRENTE NOMINAL DE 10A - FORNECIMENTO E INSTALAÇÃO. AF_10/2020</t>
  </si>
  <si>
    <t>93654</t>
  </si>
  <si>
    <t>DISJUNTOR MONOPOLAR TIPO DIN, CORRENTE NOMINAL DE 16A - FORNECIMENTO E INSTALAÇÃO. AF_10/2020</t>
  </si>
  <si>
    <t>93661</t>
  </si>
  <si>
    <t>DISJUNTOR BIPOLAR TIPO DIN, CORRENTE NOMINAL DE 16A - FORNECIMENTO E INSTALAÇÃO. AF_10/2020</t>
  </si>
  <si>
    <t>93666</t>
  </si>
  <si>
    <t>DISJUNTOR BIPOLAR TIPO DIN, CORRENTE NOMINAL DE 50A - FORNECIMENTO E INSTALAÇÃO. AF_10/2020</t>
  </si>
  <si>
    <t>101880</t>
  </si>
  <si>
    <t>QUADRO DE DISTRIBUIÇÃO DE ENERGIA EM CHAPA DE AÇO GALVANIZADO, DE EMBUTIR, COM BARRAMENTO TRIFÁSICO, PARA 30 DISJUNTORES DIN 150A - FORNECIMENTO E INSTALAÇÃO. AF_10/2020</t>
  </si>
  <si>
    <t>91952</t>
  </si>
  <si>
    <t>91997</t>
  </si>
  <si>
    <t>97583</t>
  </si>
  <si>
    <t>LUMINÁRIA TIPO CALHA, DE SOBREPOR, COM 1 LÂMPADA TUBULAR FLUORESCENTE DE 18 W, COM REATOR DE PARTIDA RÁPIDA - FORNECIMENTO E INSTALAÇÃO. AF_02/2020</t>
  </si>
  <si>
    <t>101505</t>
  </si>
  <si>
    <t>ENTRADA DE ENERGIA ELÉTRICA, AÉREA, TRIFÁSICA, COM CAIXA DE SOBREPOR, CABO DE 10 MM2 E DISJUNTOR DIN 50A (NÃO INCLUSO O POSTE DE CONCRETO). AF_07/2020_P</t>
  </si>
  <si>
    <t>96986</t>
  </si>
  <si>
    <t>HASTE DE ATERRAMENTO 3/4  PARA SPDA - FORNECIMENTO E INSTALAÇÃO. AF_12/2017</t>
  </si>
  <si>
    <t>89402</t>
  </si>
  <si>
    <t>89711</t>
  </si>
  <si>
    <t>89712</t>
  </si>
  <si>
    <t>89713</t>
  </si>
  <si>
    <t>89714</t>
  </si>
  <si>
    <t>89395</t>
  </si>
  <si>
    <t>89408</t>
  </si>
  <si>
    <t>TÊ, PVC, SERIE R, ÁGUA PLUVIAL, DN 75 MM, JUNTA ELÁSTICA, FORNECIDO E INSTALADO EM RAMAL DE ENCAMINHAMENTO. AF_12/2014</t>
  </si>
  <si>
    <t>89744</t>
  </si>
  <si>
    <t>90373</t>
  </si>
  <si>
    <t>89491</t>
  </si>
  <si>
    <t>89709</t>
  </si>
  <si>
    <t>TANQUE DE LOUÇA BRANCA SUSPENSO, 18L OU EQUIVALENTE - FORNECIMENTO E INSTALAÇÃO. AF_01/2020</t>
  </si>
  <si>
    <t>86883</t>
  </si>
  <si>
    <t>SIFÃO DO TIPO FLEXÍVEL EM PVC 1  X 1.1/2  - FORNECIMENTO E INSTALAÇÃO. AF_01/2020</t>
  </si>
  <si>
    <t>86903</t>
  </si>
  <si>
    <t>LAVATÓRIO LOUÇA BRANCA COM COLUNA, 45 X 55CM OU EQUIVALENTE, PADRÃO MÉDIO - FORNECIMENTO E INSTALAÇÃO. AF_01/2020</t>
  </si>
  <si>
    <t>86906</t>
  </si>
  <si>
    <t>TORNEIRA CROMADA DE MESA, 1/2 OU 3/4, PARA LAVATÓRIO, PADRÃO POPULAR - FORNECIMENTO E INSTALAÇÃO. AF_01/2020</t>
  </si>
  <si>
    <t>86910</t>
  </si>
  <si>
    <t>TORNEIRA CROMADA TUBO MÓVEL, DE PAREDE, 1/2 OU 3/4, PARA PIA DE COZINHA, PADRÃO MÉDIO - FORNECIMENTO E INSTALAÇÃO. AF_01/2020</t>
  </si>
  <si>
    <t>TORNEIRA CROMADA 1/2 OU 3/4 PARA TANQUE, PADRÃO MÉDIO - FORNECIMENTO E INSTALAÇÃO. AF_01/2020</t>
  </si>
  <si>
    <t>VASO SANITÁRIO SIFONADO COM CAIXA ACOPLADA LOUÇA BRANCA, INCLUSO ENGATE FLEXÍVEL EM PLÁSTICO BRANCO, 1/2  X 40CM - FORNECIMENTO E INSTALAÇÃO. AF_01/2020</t>
  </si>
  <si>
    <t>89985</t>
  </si>
  <si>
    <t>94796</t>
  </si>
  <si>
    <t>96385</t>
  </si>
  <si>
    <t>EXECUÇÃO E COMPACTAÇÃO DE ATERRO COM SOLO PREDOMINANTEMENTE ARGILOSO - EXCLUSIVE SOLO, ESCAVAÇÃO, CARGA E TRANSPORTE. AF_11/2019</t>
  </si>
  <si>
    <t>101159</t>
  </si>
  <si>
    <t>ALVENARIA DE VEDAÇÃO DE BLOCOS CERÂMICOS MACIÇOS DE 5X10X20CM (ESPESSURA 10CM) E ARGAMASSA DE ASSENTAMENTO COM PREPARO EM BETONEIRA. AF_05/2020</t>
  </si>
  <si>
    <t>100724</t>
  </si>
  <si>
    <t>PINTURA COM TINTA ALQUÍDICA DE FUNDO E ACABAMENTO (ESMALTE SINTÉTICO GRAFITE) APLICADA A ROLO OU PINCEL SOBRE PERFIL METÁLICO EXECUTADO EM FÁBRICA (POR DEMÃO). AF_01/2020</t>
  </si>
  <si>
    <t>100727</t>
  </si>
  <si>
    <t>PINTURA COM TINTA EPOXÍDICA DE FUNDO PULVERIZADA SOBRE PERFIL METÁLICO EXECUTADO EM FÁBRICA (POR DEMÃO). AF_01/2020_P</t>
  </si>
  <si>
    <t>PISO CIMENTADO, TRAÇO 1:3 (CIMENTO E AREIA), ACABAMENTO LISO, ESPESSURA 2,0 CM, PREPARO MECÂNICO DA ARGAMASSA. AF_09/2020</t>
  </si>
  <si>
    <t>SOLEIRA EM MÁRMORE, LARGURA 15 CM, ESPESSURA 2,0 CM. AF_09/2020</t>
  </si>
  <si>
    <t>93589</t>
  </si>
  <si>
    <t>TRANSPORTE COM CAMINHÃO BASCULANTE DE 10 M³, EM VIA URBANA EM REVESTIMENTO PRIMÁRIO (UNIDADE: M3XKM). AF_07/2020</t>
  </si>
  <si>
    <t>98511</t>
  </si>
  <si>
    <t>PLANTIO DE ÁRVORE ORNAMENTAL COM ALTURA DE MUDA MAIOR QUE 2,00 M E MENOR OU IGUAL A 4,00 M. AF_05/2018</t>
  </si>
  <si>
    <t>98504</t>
  </si>
  <si>
    <t>BARRA CHATA DE ALUMÍNIO TIPO FITA 1/4 X 3/4 - REF. SIURB 09-11-94 AF_01/2019</t>
  </si>
  <si>
    <t>LIMPEZA GERAL DA OBRA - REF. SIURB 17-04-01 AF_01/2019</t>
  </si>
  <si>
    <t>CAIXA DE ATERRAMENTO EM CONCRETO PRÃ-MOLDADO, DIAMETRO DE 0,30 M E ALTURA DE 0,35 M, SEM FUNDO E COM TAMPA</t>
  </si>
  <si>
    <t>DIVISORIA, PLACA  PRE-MOLDADA EM GRANILITE, MARMORITE OU GRANITINA,  E = *3 CM</t>
  </si>
  <si>
    <t>LOCACAO DE CONTAINER 2,30  X  6,00 M, ALT. 2,50 M, PARA ESCRITORIO, SEM DIVISORIAS INTERNAS E SEM SANITARIO</t>
  </si>
  <si>
    <t>PORTA DE ENROLAR MANUAL COMPLETA, ARTICULADA RAIADA LARGA, EM ACO GALVANIZADO NATURAL, CHAPA NUMERO 24 (SEM INSTALACAO)</t>
  </si>
  <si>
    <t>POSTE DE CONCRETO DUPLO T, 400 KG,H = 12 M (NBR 8451)</t>
  </si>
  <si>
    <t>TELHA TRAPEZOIDAL EM ACO ZINCADO, SEM PINTURA, ALTURA DE APROXIMADAMENTE 40 MM, ESPESSURA DE 0,50 MM E LARGURA UTIL DE 980 MM</t>
  </si>
  <si>
    <t>PORTA CHAPA DE AÇO N.16 - REF. SIURB 30560 AF_07/2019</t>
  </si>
  <si>
    <t>PLACA DE OBRA (PARA CONSTRUCAO CIVIL) EM CHAPA GALVANIZADA *N. 22*, ADESIVADA, DE *2,0 X 1,125* M (SEM POSTES PARA FIXACAO)</t>
  </si>
  <si>
    <t>SINAPI-I</t>
  </si>
  <si>
    <t>ESCAVAÇÃO MANUAL DE VIGA DE BORDA PARA RADIER. AF_09/2021</t>
  </si>
  <si>
    <t>CAMADA SEPARADORA PARA EXECUÇÃO DE RADIER, PISO DE CONCRETO OU LAJE SOBRE SOLO, EM LONA PLÁSTICA. AF_09/2021</t>
  </si>
  <si>
    <t>CONTRAPISO EM ARGAMASSA PRONTA, PREPARO MECÂNICO COM MISTURADOR 300 KG, APLICADO EM ÁREAS SECAS SOBRE LAJE, ADERIDO, ACABAMENTO NÃO REFORÇADO, ESPESSURA 2CM. AF_07/2021</t>
  </si>
  <si>
    <t>48.02.401</t>
  </si>
  <si>
    <t>REGISTRO DE PRESSÃO BRUTO, LATÃO, ROSCÁVEL, 3/4", COM ACABAMENTO E CANOPLA CROMADOS - FORNECIMENTO E INSTALAÇÃO. AF_08/2021</t>
  </si>
  <si>
    <t>TORNEIRA DE BOIA PARA CAIXA D'ÁGUA, ROSCÁVEL, 3/4" - FORNECIMENTO E INSTALAÇÃO. AF_08/2021</t>
  </si>
  <si>
    <t>Reservatório em polietileno com tampa de rosca - capacidade de 500 litros</t>
  </si>
  <si>
    <t>CDHU183</t>
  </si>
  <si>
    <t>34641</t>
  </si>
  <si>
    <t>37.24.031</t>
  </si>
  <si>
    <t>2505</t>
  </si>
  <si>
    <t>1873</t>
  </si>
  <si>
    <t>42.01.086</t>
  </si>
  <si>
    <t>42.05.190</t>
  </si>
  <si>
    <t>Captor tipo terminal aéreo, h= 300 mm em alumínio</t>
  </si>
  <si>
    <t>CAIXA DE INSPECAO PARA ATERRAMENTO E PARA RAIOS, EM POLIPROPILENO,  DIAMETRO = 300 MM X ALTURA = 400 MM</t>
  </si>
  <si>
    <t>Haste de aterramento de 3/4'' x 3 m</t>
  </si>
  <si>
    <t>26.01.040</t>
  </si>
  <si>
    <t>Vidro liso transparente de 4 mm</t>
  </si>
  <si>
    <t>34.01.010</t>
  </si>
  <si>
    <t>34.01.020</t>
  </si>
  <si>
    <t>Terra vegetal orgânica comum</t>
  </si>
  <si>
    <t>Limpeza e regularização de áreas para ajardinamento (jardins e canteiros)</t>
  </si>
  <si>
    <t>ESCAVAÇÃO MECANIZADA DE VALA COM PROF. MAIOR QUE 1,5 M E ATÉ 3,0 M(MÉDIA MONTANTE E JUSANTE/UMA COMPOSIÇÃO POR TRECHO), ESCAVADEIRA (0,8 M3), LARG. MENOR QUE 1,5 M, EM SOLO DE 1A CATEGORIA, LOCAIS COM BAIXO NÍVEL DE INTERFERÊNCIA. AF_02/2021</t>
  </si>
  <si>
    <t>Pavimento</t>
  </si>
  <si>
    <t>Movimento de Terra</t>
  </si>
  <si>
    <t>COMPACTAÇÃO MECÂNICA DE SOLO PARA EXECUÇÃO DE RADIER, PISO DE CONCRETO OU LAJE SOBRE SOLO, COM COMPACTADOR DE SOLOS A PERCUSSÃO. AF_09/2021</t>
  </si>
  <si>
    <t>Grau de Sigilo</t>
  </si>
  <si>
    <t>#PUBLICO</t>
  </si>
  <si>
    <t>Situação</t>
  </si>
  <si>
    <t>1º Quartil</t>
  </si>
  <si>
    <t>Médio</t>
  </si>
  <si>
    <t>3º Quartil</t>
  </si>
  <si>
    <t>-</t>
  </si>
  <si>
    <t>MIN</t>
  </si>
  <si>
    <t>MED</t>
  </si>
  <si>
    <t>MAX</t>
  </si>
  <si>
    <t>FILTRO</t>
  </si>
  <si>
    <t>Construção de Praças Urbanas, Rodovias, Ferrovias e recapeamento e pavimentação de vias urbanas</t>
  </si>
  <si>
    <t>↓</t>
  </si>
  <si>
    <t>F</t>
  </si>
  <si>
    <t>Construção de Redes de Abastecimento de Água, Coleta de Esgoto</t>
  </si>
  <si>
    <t>Construção e Manutenção de Estações e Redes de Distribuição de Energia Elétrica</t>
  </si>
  <si>
    <t>Obras Portuárias, Marítimas e Fluviais</t>
  </si>
  <si>
    <t>Fornecimento de Materiais e Equipamentos (aquisição indireta - em conjunto com licitação de obras)</t>
  </si>
  <si>
    <t>Fornecimento de Materiais e Equipamentos (aquisição direta)</t>
  </si>
  <si>
    <t>Estudos e Projetos, Planos e Gerenciamento e outros correlatos</t>
  </si>
  <si>
    <t>K1</t>
  </si>
  <si>
    <t>K2</t>
  </si>
  <si>
    <t>K3</t>
  </si>
  <si>
    <t>CREA</t>
  </si>
  <si>
    <t>Nome</t>
  </si>
  <si>
    <t>logo empresa</t>
  </si>
  <si>
    <t>Preço Unitário + BDI</t>
  </si>
  <si>
    <t>fonte</t>
  </si>
  <si>
    <t>bdi</t>
  </si>
  <si>
    <t>logo da empresa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</si>
</sst>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-&quot;R$&quot;\ * #,##0.000_-;\-&quot;R$&quot;\ * #,##0.000_-;_-&quot;R$&quot;\ * &quot;-&quot;??_-;_-@_-"/>
    <numFmt numFmtId="165" formatCode="_-&quot;R$&quot;\ * #,##0.000_-;\-&quot;R$&quot;\ * #,##0.000_-;_-&quot;R$&quot;\ * &quot;-&quot;???_-;_-@_-"/>
    <numFmt numFmtId="166" formatCode="_(&quot;R$ &quot;* #,##0.00_);_(&quot;R$ &quot;* \(#,##0.00\);_(&quot;R$ &quot;* \-??_);_(@_)"/>
    <numFmt numFmtId="167" formatCode="General;General"/>
    <numFmt numFmtId="168" formatCode="[$-F800]dddd\,\ mmmm\ dd\,\ yyyy"/>
    <numFmt numFmtId="169" formatCode="dd&quot; de &quot;mmmm&quot; de &quot;yyyy"/>
  </numFmts>
  <fonts count="2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rgb="FF333333"/>
      <name val="Arial"/>
      <family val="2"/>
    </font>
    <font>
      <sz val="11"/>
      <color rgb="FF333333"/>
      <name val="Arial"/>
      <family val="2"/>
    </font>
    <font>
      <b/>
      <u/>
      <sz val="11"/>
      <color theme="10"/>
      <name val="Calibri"/>
      <family val="2"/>
      <scheme val="minor"/>
    </font>
    <font>
      <b/>
      <sz val="18"/>
      <color theme="1"/>
      <name val="Arial"/>
      <family val="2"/>
    </font>
    <font>
      <sz val="8"/>
      <name val="Calibri"/>
      <family val="2"/>
    </font>
    <font>
      <sz val="10"/>
      <color indexed="8"/>
      <name val="MS Sans Serif"/>
      <family val="2"/>
    </font>
    <font>
      <sz val="10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sz val="9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b/>
      <sz val="12"/>
      <color indexed="10"/>
      <name val="Arial"/>
      <family val="2"/>
    </font>
    <font>
      <sz val="10"/>
      <color indexed="10"/>
      <name val="Arial"/>
      <family val="2"/>
    </font>
    <font>
      <i/>
      <sz val="12"/>
      <name val="Calibri"/>
      <family val="2"/>
    </font>
    <font>
      <i/>
      <u/>
      <sz val="12"/>
      <name val="Calibri"/>
      <family val="2"/>
    </font>
    <font>
      <u/>
      <sz val="10"/>
      <name val="Arial"/>
      <family val="2"/>
    </font>
    <font>
      <b/>
      <sz val="10"/>
      <color indexed="12"/>
      <name val="Arial"/>
      <family val="2"/>
    </font>
    <font>
      <sz val="10"/>
      <name val="Calibri"/>
      <family val="2"/>
    </font>
    <font>
      <b/>
      <sz val="9"/>
      <color indexed="8"/>
      <name val="Tahoma"/>
      <family val="2"/>
    </font>
    <font>
      <sz val="9"/>
      <color indexed="8"/>
      <name val="Tahoma"/>
      <family val="2"/>
    </font>
  </fonts>
  <fills count="10">
    <fill>
      <patternFill patternType="none"/>
    </fill>
    <fill>
      <patternFill patternType="gray125"/>
    </fill>
    <fill>
      <patternFill patternType="solid">
        <fgColor rgb="FFF5F5F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indexed="43"/>
        <bgColor indexed="26"/>
      </patternFill>
    </fill>
    <fill>
      <patternFill patternType="solid">
        <fgColor indexed="22"/>
        <bgColor indexed="44"/>
      </patternFill>
    </fill>
    <fill>
      <patternFill patternType="solid">
        <fgColor indexed="31"/>
        <bgColor indexed="42"/>
      </patternFill>
    </fill>
    <fill>
      <patternFill patternType="solid">
        <fgColor rgb="FFFFFF99"/>
        <bgColor indexed="64"/>
      </patternFill>
    </fill>
  </fills>
  <borders count="4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9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" fillId="0" borderId="0" applyNumberForma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9" fillId="0" borderId="0"/>
    <xf numFmtId="0" fontId="13" fillId="0" borderId="0"/>
    <xf numFmtId="166" fontId="10" fillId="0" borderId="0" applyFill="0" applyBorder="0" applyAlignment="0" applyProtection="0"/>
  </cellStyleXfs>
  <cellXfs count="222">
    <xf numFmtId="0" fontId="0" fillId="0" borderId="0" xfId="0"/>
    <xf numFmtId="43" fontId="0" fillId="0" borderId="0" xfId="1" applyFont="1"/>
    <xf numFmtId="0" fontId="4" fillId="2" borderId="0" xfId="0" applyFont="1" applyFill="1" applyBorder="1" applyAlignment="1">
      <alignment horizontal="center" vertical="center" wrapText="1"/>
    </xf>
    <xf numFmtId="43" fontId="4" fillId="2" borderId="0" xfId="1" applyFont="1" applyFill="1" applyBorder="1" applyAlignment="1">
      <alignment horizontal="center" vertical="center" wrapText="1"/>
    </xf>
    <xf numFmtId="44" fontId="0" fillId="0" borderId="0" xfId="2" applyFont="1"/>
    <xf numFmtId="44" fontId="4" fillId="2" borderId="0" xfId="2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vertical="center" wrapText="1"/>
    </xf>
    <xf numFmtId="0" fontId="3" fillId="3" borderId="1" xfId="3" applyFill="1" applyBorder="1" applyAlignment="1">
      <alignment horizontal="center" vertical="center" wrapText="1"/>
    </xf>
    <xf numFmtId="0" fontId="5" fillId="3" borderId="1" xfId="0" applyFont="1" applyFill="1" applyBorder="1" applyAlignment="1">
      <alignment vertical="center" wrapText="1"/>
    </xf>
    <xf numFmtId="43" fontId="5" fillId="3" borderId="1" xfId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44" fontId="5" fillId="3" borderId="1" xfId="2" applyFont="1" applyFill="1" applyBorder="1" applyAlignment="1">
      <alignment horizontal="center" vertical="center" wrapText="1"/>
    </xf>
    <xf numFmtId="44" fontId="5" fillId="3" borderId="1" xfId="2" applyFont="1" applyFill="1" applyBorder="1" applyAlignment="1">
      <alignment horizontal="right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vertical="center" wrapText="1"/>
    </xf>
    <xf numFmtId="43" fontId="5" fillId="4" borderId="1" xfId="1" applyFont="1" applyFill="1" applyBorder="1" applyAlignment="1">
      <alignment horizontal="right" vertical="center" wrapText="1"/>
    </xf>
    <xf numFmtId="44" fontId="5" fillId="4" borderId="1" xfId="2" applyFont="1" applyFill="1" applyBorder="1" applyAlignment="1">
      <alignment horizontal="right" vertical="center" wrapText="1"/>
    </xf>
    <xf numFmtId="0" fontId="4" fillId="3" borderId="10" xfId="0" applyFont="1" applyFill="1" applyBorder="1" applyAlignment="1">
      <alignment horizontal="center" vertical="center" wrapText="1"/>
    </xf>
    <xf numFmtId="43" fontId="4" fillId="3" borderId="10" xfId="1" applyFont="1" applyFill="1" applyBorder="1" applyAlignment="1">
      <alignment horizontal="center" vertical="center" wrapText="1"/>
    </xf>
    <xf numFmtId="44" fontId="4" fillId="3" borderId="10" xfId="2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43" fontId="4" fillId="3" borderId="3" xfId="1" applyFont="1" applyFill="1" applyBorder="1" applyAlignment="1">
      <alignment horizontal="center" vertical="center" wrapText="1"/>
    </xf>
    <xf numFmtId="44" fontId="4" fillId="3" borderId="3" xfId="2" applyFont="1" applyFill="1" applyBorder="1" applyAlignment="1">
      <alignment horizontal="center" vertical="center" wrapText="1"/>
    </xf>
    <xf numFmtId="44" fontId="4" fillId="3" borderId="4" xfId="2" applyFont="1" applyFill="1" applyBorder="1" applyAlignment="1">
      <alignment horizontal="center" vertical="center" wrapText="1"/>
    </xf>
    <xf numFmtId="0" fontId="6" fillId="3" borderId="1" xfId="3" applyFont="1" applyFill="1" applyBorder="1" applyAlignment="1">
      <alignment horizontal="center" vertical="center" wrapText="1"/>
    </xf>
    <xf numFmtId="43" fontId="4" fillId="3" borderId="1" xfId="1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44" fontId="4" fillId="3" borderId="1" xfId="2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vertical="center" wrapText="1"/>
    </xf>
    <xf numFmtId="0" fontId="6" fillId="3" borderId="6" xfId="3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vertical="center" wrapText="1"/>
    </xf>
    <xf numFmtId="43" fontId="4" fillId="3" borderId="6" xfId="1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44" fontId="4" fillId="3" borderId="6" xfId="2" applyFont="1" applyFill="1" applyBorder="1" applyAlignment="1">
      <alignment horizontal="center" vertical="center" wrapText="1"/>
    </xf>
    <xf numFmtId="44" fontId="4" fillId="3" borderId="7" xfId="2" applyFont="1" applyFill="1" applyBorder="1" applyAlignment="1">
      <alignment horizontal="right" vertical="center" wrapText="1"/>
    </xf>
    <xf numFmtId="0" fontId="5" fillId="4" borderId="8" xfId="0" applyFont="1" applyFill="1" applyBorder="1" applyAlignment="1">
      <alignment horizontal="center" vertical="center" wrapText="1"/>
    </xf>
    <xf numFmtId="44" fontId="5" fillId="4" borderId="9" xfId="2" applyFont="1" applyFill="1" applyBorder="1" applyAlignment="1">
      <alignment horizontal="right" vertical="center" wrapText="1"/>
    </xf>
    <xf numFmtId="0" fontId="4" fillId="3" borderId="8" xfId="0" applyFont="1" applyFill="1" applyBorder="1" applyAlignment="1">
      <alignment vertical="center" wrapText="1"/>
    </xf>
    <xf numFmtId="44" fontId="4" fillId="3" borderId="9" xfId="2" applyFont="1" applyFill="1" applyBorder="1" applyAlignment="1">
      <alignment horizontal="right" vertical="center" wrapText="1"/>
    </xf>
    <xf numFmtId="3" fontId="5" fillId="4" borderId="8" xfId="0" applyNumberFormat="1" applyFont="1" applyFill="1" applyBorder="1" applyAlignment="1">
      <alignment horizontal="center" vertical="center" wrapText="1"/>
    </xf>
    <xf numFmtId="44" fontId="5" fillId="3" borderId="9" xfId="2" applyFont="1" applyFill="1" applyBorder="1" applyAlignment="1">
      <alignment horizontal="right" vertical="center" wrapText="1"/>
    </xf>
    <xf numFmtId="44" fontId="4" fillId="3" borderId="4" xfId="2" applyFont="1" applyFill="1" applyBorder="1" applyAlignment="1">
      <alignment horizontal="right" vertical="center" wrapText="1"/>
    </xf>
    <xf numFmtId="44" fontId="2" fillId="3" borderId="2" xfId="2" applyFont="1" applyFill="1" applyBorder="1" applyAlignment="1">
      <alignment horizontal="center"/>
    </xf>
    <xf numFmtId="0" fontId="6" fillId="3" borderId="0" xfId="3" applyFont="1" applyFill="1" applyBorder="1" applyAlignment="1">
      <alignment horizontal="center" vertical="center" wrapText="1"/>
    </xf>
    <xf numFmtId="0" fontId="5" fillId="3" borderId="8" xfId="0" applyFont="1" applyFill="1" applyBorder="1" applyAlignment="1">
      <alignment horizontal="center" vertical="center" wrapText="1"/>
    </xf>
    <xf numFmtId="43" fontId="5" fillId="3" borderId="1" xfId="1" applyFont="1" applyFill="1" applyBorder="1" applyAlignment="1">
      <alignment horizontal="right" vertical="center" wrapText="1"/>
    </xf>
    <xf numFmtId="49" fontId="0" fillId="5" borderId="11" xfId="0" applyNumberFormat="1" applyFont="1" applyFill="1" applyBorder="1" applyAlignment="1" applyProtection="1">
      <alignment horizontal="center" vertical="center" wrapText="1"/>
      <protection locked="0"/>
    </xf>
    <xf numFmtId="49" fontId="0" fillId="5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3" borderId="13" xfId="0" applyFont="1" applyFill="1" applyBorder="1" applyAlignment="1">
      <alignment vertical="center" wrapText="1"/>
    </xf>
    <xf numFmtId="0" fontId="4" fillId="3" borderId="10" xfId="0" applyFont="1" applyFill="1" applyBorder="1" applyAlignment="1">
      <alignment vertical="center" wrapText="1"/>
    </xf>
    <xf numFmtId="44" fontId="4" fillId="3" borderId="14" xfId="2" applyFont="1" applyFill="1" applyBorder="1" applyAlignment="1">
      <alignment horizontal="right" vertical="center" wrapText="1"/>
    </xf>
    <xf numFmtId="0" fontId="4" fillId="3" borderId="15" xfId="0" applyFont="1" applyFill="1" applyBorder="1" applyAlignment="1">
      <alignment vertical="center" wrapText="1"/>
    </xf>
    <xf numFmtId="0" fontId="4" fillId="3" borderId="12" xfId="0" applyFont="1" applyFill="1" applyBorder="1" applyAlignment="1">
      <alignment vertical="center" wrapText="1"/>
    </xf>
    <xf numFmtId="43" fontId="4" fillId="3" borderId="12" xfId="1" applyFont="1" applyFill="1" applyBorder="1" applyAlignment="1">
      <alignment horizontal="center" vertical="center" wrapText="1"/>
    </xf>
    <xf numFmtId="0" fontId="4" fillId="3" borderId="12" xfId="0" applyFont="1" applyFill="1" applyBorder="1" applyAlignment="1">
      <alignment horizontal="center" vertical="center" wrapText="1"/>
    </xf>
    <xf numFmtId="44" fontId="4" fillId="3" borderId="12" xfId="2" applyFont="1" applyFill="1" applyBorder="1" applyAlignment="1">
      <alignment horizontal="center" vertical="center" wrapText="1"/>
    </xf>
    <xf numFmtId="44" fontId="4" fillId="3" borderId="16" xfId="2" applyFont="1" applyFill="1" applyBorder="1" applyAlignment="1">
      <alignment horizontal="right" vertical="center" wrapText="1"/>
    </xf>
    <xf numFmtId="0" fontId="0" fillId="0" borderId="17" xfId="0" applyBorder="1"/>
    <xf numFmtId="0" fontId="0" fillId="0" borderId="18" xfId="0" applyBorder="1"/>
    <xf numFmtId="43" fontId="0" fillId="0" borderId="18" xfId="1" applyFont="1" applyBorder="1"/>
    <xf numFmtId="44" fontId="0" fillId="0" borderId="18" xfId="2" applyFont="1" applyBorder="1"/>
    <xf numFmtId="0" fontId="0" fillId="0" borderId="22" xfId="0" applyBorder="1"/>
    <xf numFmtId="0" fontId="0" fillId="0" borderId="23" xfId="0" applyBorder="1"/>
    <xf numFmtId="43" fontId="0" fillId="0" borderId="23" xfId="1" applyFont="1" applyBorder="1"/>
    <xf numFmtId="44" fontId="0" fillId="0" borderId="23" xfId="2" applyFont="1" applyBorder="1"/>
    <xf numFmtId="44" fontId="0" fillId="0" borderId="24" xfId="2" applyFont="1" applyBorder="1"/>
    <xf numFmtId="17" fontId="0" fillId="0" borderId="19" xfId="2" applyNumberFormat="1" applyFont="1" applyBorder="1" applyAlignment="1">
      <alignment horizontal="center"/>
    </xf>
    <xf numFmtId="44" fontId="0" fillId="0" borderId="18" xfId="2" applyFont="1" applyBorder="1" applyAlignment="1">
      <alignment horizontal="left"/>
    </xf>
    <xf numFmtId="0" fontId="0" fillId="0" borderId="17" xfId="0" applyBorder="1" applyAlignment="1">
      <alignment horizontal="left"/>
    </xf>
    <xf numFmtId="10" fontId="0" fillId="0" borderId="0" xfId="4" applyNumberFormat="1" applyFont="1"/>
    <xf numFmtId="0" fontId="0" fillId="0" borderId="0" xfId="0" applyBorder="1"/>
    <xf numFmtId="0" fontId="0" fillId="0" borderId="25" xfId="0" applyBorder="1"/>
    <xf numFmtId="44" fontId="0" fillId="0" borderId="0" xfId="0" applyNumberFormat="1"/>
    <xf numFmtId="0" fontId="2" fillId="0" borderId="0" xfId="0" applyFont="1" applyBorder="1" applyAlignment="1">
      <alignment vertical="center"/>
    </xf>
    <xf numFmtId="0" fontId="0" fillId="0" borderId="0" xfId="0" applyBorder="1" applyAlignment="1">
      <alignment horizontal="center"/>
    </xf>
    <xf numFmtId="0" fontId="2" fillId="0" borderId="0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6" applyFont="1" applyProtection="1"/>
    <xf numFmtId="0" fontId="11" fillId="0" borderId="0" xfId="6" applyFont="1" applyAlignment="1" applyProtection="1">
      <alignment horizontal="center"/>
    </xf>
    <xf numFmtId="0" fontId="12" fillId="0" borderId="0" xfId="6" applyFont="1" applyProtection="1"/>
    <xf numFmtId="0" fontId="13" fillId="0" borderId="0" xfId="6" applyFont="1" applyFill="1" applyBorder="1" applyAlignment="1" applyProtection="1">
      <alignment horizontal="left"/>
    </xf>
    <xf numFmtId="0" fontId="15" fillId="0" borderId="35" xfId="6" applyFont="1" applyBorder="1" applyAlignment="1" applyProtection="1">
      <alignment horizontal="center" vertical="center"/>
    </xf>
    <xf numFmtId="10" fontId="15" fillId="6" borderId="35" xfId="6" applyNumberFormat="1" applyFont="1" applyFill="1" applyBorder="1" applyAlignment="1" applyProtection="1">
      <alignment horizontal="center" vertical="center"/>
      <protection locked="0"/>
    </xf>
    <xf numFmtId="10" fontId="15" fillId="0" borderId="35" xfId="6" applyNumberFormat="1" applyFont="1" applyFill="1" applyBorder="1" applyAlignment="1" applyProtection="1">
      <alignment horizontal="center" vertical="center"/>
    </xf>
    <xf numFmtId="10" fontId="15" fillId="0" borderId="35" xfId="6" applyNumberFormat="1" applyFont="1" applyFill="1" applyBorder="1" applyAlignment="1" applyProtection="1">
      <alignment horizontal="center" vertical="center" wrapText="1"/>
    </xf>
    <xf numFmtId="0" fontId="15" fillId="0" borderId="35" xfId="6" applyFont="1" applyFill="1" applyBorder="1" applyAlignment="1" applyProtection="1">
      <alignment horizontal="center" vertical="center" wrapText="1"/>
    </xf>
    <xf numFmtId="0" fontId="15" fillId="7" borderId="35" xfId="6" applyFont="1" applyFill="1" applyBorder="1" applyAlignment="1" applyProtection="1">
      <alignment horizontal="center" vertical="center" wrapText="1"/>
    </xf>
    <xf numFmtId="10" fontId="14" fillId="7" borderId="35" xfId="6" applyNumberFormat="1" applyFont="1" applyFill="1" applyBorder="1" applyAlignment="1" applyProtection="1">
      <alignment horizontal="center" vertical="center"/>
    </xf>
    <xf numFmtId="0" fontId="16" fillId="0" borderId="0" xfId="6" applyFont="1" applyBorder="1" applyAlignment="1" applyProtection="1">
      <alignment horizontal="right" vertical="center"/>
    </xf>
    <xf numFmtId="0" fontId="0" fillId="0" borderId="0" xfId="6" applyFont="1" applyBorder="1" applyAlignment="1" applyProtection="1">
      <alignment horizontal="center" vertical="top"/>
    </xf>
    <xf numFmtId="0" fontId="20" fillId="0" borderId="0" xfId="6" applyFont="1" applyBorder="1" applyAlignment="1" applyProtection="1">
      <alignment horizontal="center" vertical="top"/>
    </xf>
    <xf numFmtId="169" fontId="0" fillId="0" borderId="0" xfId="6" applyNumberFormat="1" applyFont="1" applyAlignment="1" applyProtection="1"/>
    <xf numFmtId="0" fontId="12" fillId="0" borderId="37" xfId="6" applyFont="1" applyBorder="1" applyAlignment="1" applyProtection="1">
      <alignment horizontal="left"/>
    </xf>
    <xf numFmtId="0" fontId="0" fillId="0" borderId="37" xfId="6" applyFont="1" applyBorder="1" applyProtection="1"/>
    <xf numFmtId="0" fontId="15" fillId="0" borderId="0" xfId="6" applyFont="1" applyBorder="1" applyProtection="1"/>
    <xf numFmtId="0" fontId="0" fillId="0" borderId="0" xfId="6" applyFont="1" applyBorder="1" applyProtection="1"/>
    <xf numFmtId="0" fontId="12" fillId="0" borderId="0" xfId="7" applyFont="1" applyBorder="1" applyAlignment="1" applyProtection="1">
      <alignment horizontal="left" vertical="top"/>
    </xf>
    <xf numFmtId="0" fontId="0" fillId="0" borderId="0" xfId="6" applyNumberFormat="1" applyFont="1" applyFill="1" applyBorder="1" applyAlignment="1" applyProtection="1">
      <alignment vertical="top"/>
    </xf>
    <xf numFmtId="167" fontId="0" fillId="0" borderId="0" xfId="6" applyNumberFormat="1" applyFont="1" applyFill="1" applyBorder="1" applyAlignment="1" applyProtection="1"/>
    <xf numFmtId="0" fontId="15" fillId="0" borderId="0" xfId="6" applyFont="1" applyProtection="1"/>
    <xf numFmtId="167" fontId="0" fillId="0" borderId="0" xfId="6" applyNumberFormat="1" applyFont="1" applyFill="1" applyBorder="1" applyAlignment="1" applyProtection="1">
      <alignment vertical="top"/>
    </xf>
    <xf numFmtId="0" fontId="12" fillId="0" borderId="0" xfId="6" applyFont="1" applyAlignment="1" applyProtection="1">
      <alignment horizontal="center"/>
    </xf>
    <xf numFmtId="0" fontId="12" fillId="0" borderId="35" xfId="6" applyFont="1" applyBorder="1" applyAlignment="1" applyProtection="1">
      <alignment horizontal="center"/>
    </xf>
    <xf numFmtId="10" fontId="21" fillId="0" borderId="35" xfId="6" applyNumberFormat="1" applyFont="1" applyFill="1" applyBorder="1" applyAlignment="1" applyProtection="1">
      <alignment horizontal="center"/>
    </xf>
    <xf numFmtId="0" fontId="12" fillId="0" borderId="35" xfId="6" applyFont="1" applyFill="1" applyBorder="1" applyAlignment="1" applyProtection="1">
      <alignment horizontal="center" vertical="center" wrapText="1"/>
    </xf>
    <xf numFmtId="1" fontId="8" fillId="0" borderId="0" xfId="0" applyNumberFormat="1" applyFont="1" applyAlignment="1">
      <alignment horizontal="center" vertical="center"/>
    </xf>
    <xf numFmtId="44" fontId="2" fillId="0" borderId="18" xfId="2" applyFont="1" applyBorder="1" applyAlignment="1">
      <alignment horizontal="left"/>
    </xf>
    <xf numFmtId="44" fontId="2" fillId="0" borderId="23" xfId="2" applyFont="1" applyBorder="1"/>
    <xf numFmtId="44" fontId="5" fillId="9" borderId="1" xfId="2" applyFont="1" applyFill="1" applyBorder="1" applyAlignment="1" applyProtection="1">
      <alignment horizontal="right" vertical="center" wrapText="1"/>
      <protection locked="0"/>
    </xf>
    <xf numFmtId="10" fontId="5" fillId="9" borderId="1" xfId="4" applyNumberFormat="1" applyFont="1" applyFill="1" applyBorder="1" applyAlignment="1" applyProtection="1">
      <alignment horizontal="right" vertical="center" wrapText="1"/>
      <protection locked="0"/>
    </xf>
    <xf numFmtId="10" fontId="13" fillId="6" borderId="0" xfId="6" applyNumberFormat="1" applyFont="1" applyFill="1" applyBorder="1" applyAlignment="1" applyProtection="1">
      <protection locked="0"/>
    </xf>
    <xf numFmtId="10" fontId="13" fillId="6" borderId="26" xfId="6" applyNumberFormat="1" applyFont="1" applyFill="1" applyBorder="1" applyAlignment="1" applyProtection="1">
      <protection locked="0"/>
    </xf>
    <xf numFmtId="10" fontId="13" fillId="6" borderId="27" xfId="6" applyNumberFormat="1" applyFont="1" applyFill="1" applyBorder="1" applyAlignment="1" applyProtection="1">
      <protection locked="0"/>
    </xf>
    <xf numFmtId="10" fontId="13" fillId="6" borderId="28" xfId="6" applyNumberFormat="1" applyFont="1" applyFill="1" applyBorder="1" applyAlignment="1" applyProtection="1">
      <alignment horizontal="center"/>
      <protection locked="0"/>
    </xf>
    <xf numFmtId="10" fontId="13" fillId="6" borderId="29" xfId="6" applyNumberFormat="1" applyFont="1" applyFill="1" applyBorder="1" applyAlignment="1" applyProtection="1">
      <protection locked="0"/>
    </xf>
    <xf numFmtId="10" fontId="13" fillId="6" borderId="30" xfId="6" applyNumberFormat="1" applyFont="1" applyFill="1" applyBorder="1" applyAlignment="1" applyProtection="1">
      <alignment horizontal="center"/>
      <protection locked="0"/>
    </xf>
    <xf numFmtId="10" fontId="13" fillId="6" borderId="31" xfId="6" applyNumberFormat="1" applyFont="1" applyFill="1" applyBorder="1" applyAlignment="1" applyProtection="1">
      <protection locked="0"/>
    </xf>
    <xf numFmtId="10" fontId="13" fillId="6" borderId="25" xfId="6" applyNumberFormat="1" applyFont="1" applyFill="1" applyBorder="1" applyAlignment="1" applyProtection="1">
      <protection locked="0"/>
    </xf>
    <xf numFmtId="10" fontId="13" fillId="6" borderId="32" xfId="6" applyNumberFormat="1" applyFont="1" applyFill="1" applyBorder="1" applyAlignment="1" applyProtection="1">
      <alignment horizontal="center"/>
      <protection locked="0"/>
    </xf>
    <xf numFmtId="0" fontId="0" fillId="9" borderId="0" xfId="0" applyFill="1" applyProtection="1">
      <protection locked="0"/>
    </xf>
    <xf numFmtId="10" fontId="0" fillId="9" borderId="0" xfId="4" applyNumberFormat="1" applyFont="1" applyFill="1" applyProtection="1">
      <protection locked="0"/>
    </xf>
    <xf numFmtId="0" fontId="2" fillId="4" borderId="22" xfId="0" applyFont="1" applyFill="1" applyBorder="1" applyAlignment="1">
      <alignment horizontal="center"/>
    </xf>
    <xf numFmtId="0" fontId="2" fillId="4" borderId="23" xfId="0" applyFont="1" applyFill="1" applyBorder="1" applyAlignment="1">
      <alignment horizontal="center"/>
    </xf>
    <xf numFmtId="0" fontId="2" fillId="4" borderId="39" xfId="0" applyFont="1" applyFill="1" applyBorder="1" applyAlignment="1">
      <alignment horizontal="center"/>
    </xf>
    <xf numFmtId="0" fontId="0" fillId="4" borderId="10" xfId="0" applyFill="1" applyBorder="1" applyAlignment="1">
      <alignment horizontal="center"/>
    </xf>
    <xf numFmtId="0" fontId="0" fillId="4" borderId="28" xfId="0" applyFill="1" applyBorder="1"/>
    <xf numFmtId="0" fontId="0" fillId="4" borderId="40" xfId="0" applyFill="1" applyBorder="1" applyAlignment="1">
      <alignment horizontal="center"/>
    </xf>
    <xf numFmtId="0" fontId="0" fillId="4" borderId="40" xfId="0" applyFill="1" applyBorder="1"/>
    <xf numFmtId="0" fontId="0" fillId="4" borderId="30" xfId="0" applyFill="1" applyBorder="1"/>
    <xf numFmtId="0" fontId="0" fillId="4" borderId="12" xfId="0" applyFill="1" applyBorder="1"/>
    <xf numFmtId="0" fontId="0" fillId="4" borderId="0" xfId="0" applyFill="1" applyBorder="1" applyAlignment="1">
      <alignment horizontal="center"/>
    </xf>
    <xf numFmtId="0" fontId="0" fillId="4" borderId="0" xfId="0" applyFill="1" applyBorder="1"/>
    <xf numFmtId="10" fontId="0" fillId="4" borderId="0" xfId="4" applyNumberFormat="1" applyFont="1" applyFill="1" applyBorder="1"/>
    <xf numFmtId="0" fontId="2" fillId="4" borderId="0" xfId="0" applyFont="1" applyFill="1" applyBorder="1"/>
    <xf numFmtId="10" fontId="0" fillId="4" borderId="0" xfId="4" applyNumberFormat="1" applyFont="1" applyFill="1" applyBorder="1" applyAlignment="1">
      <alignment horizontal="center"/>
    </xf>
    <xf numFmtId="44" fontId="0" fillId="4" borderId="0" xfId="0" applyNumberFormat="1" applyFill="1" applyBorder="1"/>
    <xf numFmtId="44" fontId="0" fillId="4" borderId="0" xfId="2" applyFont="1" applyFill="1" applyBorder="1"/>
    <xf numFmtId="0" fontId="2" fillId="4" borderId="17" xfId="0" applyFont="1" applyFill="1" applyBorder="1" applyAlignment="1">
      <alignment horizontal="center"/>
    </xf>
    <xf numFmtId="10" fontId="2" fillId="4" borderId="23" xfId="4" applyNumberFormat="1" applyFont="1" applyFill="1" applyBorder="1" applyAlignment="1">
      <alignment horizontal="center"/>
    </xf>
    <xf numFmtId="10" fontId="2" fillId="4" borderId="24" xfId="4" applyNumberFormat="1" applyFont="1" applyFill="1" applyBorder="1" applyAlignment="1">
      <alignment horizontal="center"/>
    </xf>
    <xf numFmtId="0" fontId="2" fillId="4" borderId="41" xfId="0" applyFont="1" applyFill="1" applyBorder="1" applyAlignment="1">
      <alignment horizontal="center"/>
    </xf>
    <xf numFmtId="10" fontId="2" fillId="4" borderId="39" xfId="4" applyNumberFormat="1" applyFont="1" applyFill="1" applyBorder="1" applyAlignment="1">
      <alignment horizontal="center"/>
    </xf>
    <xf numFmtId="0" fontId="0" fillId="4" borderId="29" xfId="0" applyFill="1" applyBorder="1" applyAlignment="1">
      <alignment horizontal="center"/>
    </xf>
    <xf numFmtId="10" fontId="0" fillId="4" borderId="30" xfId="4" applyNumberFormat="1" applyFont="1" applyFill="1" applyBorder="1" applyAlignment="1">
      <alignment horizontal="center"/>
    </xf>
    <xf numFmtId="44" fontId="0" fillId="4" borderId="29" xfId="0" applyNumberFormat="1" applyFill="1" applyBorder="1"/>
    <xf numFmtId="10" fontId="0" fillId="9" borderId="30" xfId="4" applyNumberFormat="1" applyFont="1" applyFill="1" applyBorder="1" applyProtection="1">
      <protection locked="0"/>
    </xf>
    <xf numFmtId="0" fontId="0" fillId="4" borderId="29" xfId="0" applyFill="1" applyBorder="1"/>
    <xf numFmtId="10" fontId="0" fillId="4" borderId="30" xfId="4" applyNumberFormat="1" applyFont="1" applyFill="1" applyBorder="1"/>
    <xf numFmtId="44" fontId="0" fillId="4" borderId="29" xfId="2" applyFont="1" applyFill="1" applyBorder="1"/>
    <xf numFmtId="164" fontId="0" fillId="4" borderId="31" xfId="2" applyNumberFormat="1" applyFont="1" applyFill="1" applyBorder="1"/>
    <xf numFmtId="10" fontId="0" fillId="4" borderId="32" xfId="4" applyNumberFormat="1" applyFont="1" applyFill="1" applyBorder="1"/>
    <xf numFmtId="165" fontId="0" fillId="4" borderId="31" xfId="0" applyNumberFormat="1" applyFill="1" applyBorder="1"/>
    <xf numFmtId="44" fontId="2" fillId="4" borderId="26" xfId="0" applyNumberFormat="1" applyFont="1" applyFill="1" applyBorder="1"/>
    <xf numFmtId="10" fontId="2" fillId="4" borderId="27" xfId="4" applyNumberFormat="1" applyFont="1" applyFill="1" applyBorder="1"/>
    <xf numFmtId="164" fontId="0" fillId="4" borderId="26" xfId="2" applyNumberFormat="1" applyFont="1" applyFill="1" applyBorder="1"/>
    <xf numFmtId="10" fontId="0" fillId="4" borderId="28" xfId="4" applyNumberFormat="1" applyFont="1" applyFill="1" applyBorder="1"/>
    <xf numFmtId="164" fontId="0" fillId="4" borderId="27" xfId="2" applyNumberFormat="1" applyFont="1" applyFill="1" applyBorder="1"/>
    <xf numFmtId="10" fontId="0" fillId="4" borderId="27" xfId="4" applyNumberFormat="1" applyFont="1" applyFill="1" applyBorder="1"/>
    <xf numFmtId="44" fontId="2" fillId="4" borderId="31" xfId="0" applyNumberFormat="1" applyFont="1" applyFill="1" applyBorder="1"/>
    <xf numFmtId="10" fontId="2" fillId="4" borderId="25" xfId="4" applyNumberFormat="1" applyFont="1" applyFill="1" applyBorder="1"/>
    <xf numFmtId="165" fontId="0" fillId="4" borderId="25" xfId="0" applyNumberFormat="1" applyFill="1" applyBorder="1"/>
    <xf numFmtId="10" fontId="0" fillId="4" borderId="25" xfId="4" applyNumberFormat="1" applyFont="1" applyFill="1" applyBorder="1"/>
    <xf numFmtId="165" fontId="2" fillId="4" borderId="25" xfId="0" applyNumberFormat="1" applyFont="1" applyFill="1" applyBorder="1"/>
    <xf numFmtId="10" fontId="2" fillId="4" borderId="32" xfId="4" applyNumberFormat="1" applyFont="1" applyFill="1" applyBorder="1"/>
    <xf numFmtId="44" fontId="0" fillId="9" borderId="12" xfId="0" applyNumberFormat="1" applyFill="1" applyBorder="1" applyProtection="1">
      <protection locked="0"/>
    </xf>
    <xf numFmtId="0" fontId="2" fillId="4" borderId="12" xfId="0" applyFont="1" applyFill="1" applyBorder="1" applyAlignment="1">
      <alignment horizontal="center"/>
    </xf>
    <xf numFmtId="0" fontId="0" fillId="4" borderId="12" xfId="0" applyFill="1" applyBorder="1" applyAlignment="1">
      <alignment horizontal="center"/>
    </xf>
    <xf numFmtId="0" fontId="2" fillId="4" borderId="42" xfId="0" applyFont="1" applyFill="1" applyBorder="1" applyAlignment="1">
      <alignment horizontal="center"/>
    </xf>
    <xf numFmtId="0" fontId="2" fillId="4" borderId="43" xfId="0" applyFont="1" applyFill="1" applyBorder="1" applyAlignment="1">
      <alignment horizontal="center"/>
    </xf>
    <xf numFmtId="0" fontId="2" fillId="4" borderId="44" xfId="0" applyFont="1" applyFill="1" applyBorder="1" applyAlignment="1">
      <alignment horizontal="center"/>
    </xf>
    <xf numFmtId="0" fontId="0" fillId="4" borderId="27" xfId="0" applyFill="1" applyBorder="1"/>
    <xf numFmtId="0" fontId="13" fillId="0" borderId="35" xfId="6" applyFont="1" applyFill="1" applyBorder="1" applyAlignment="1" applyProtection="1">
      <alignment horizontal="left"/>
    </xf>
    <xf numFmtId="10" fontId="13" fillId="6" borderId="35" xfId="6" applyNumberFormat="1" applyFont="1" applyFill="1" applyBorder="1" applyAlignment="1" applyProtection="1">
      <alignment horizontal="center"/>
      <protection locked="0"/>
    </xf>
    <xf numFmtId="0" fontId="0" fillId="0" borderId="33" xfId="0" applyFont="1" applyBorder="1" applyAlignment="1" applyProtection="1">
      <alignment horizontal="center"/>
    </xf>
    <xf numFmtId="0" fontId="12" fillId="0" borderId="34" xfId="0" applyFont="1" applyBorder="1" applyAlignment="1" applyProtection="1">
      <alignment horizontal="center"/>
    </xf>
    <xf numFmtId="0" fontId="12" fillId="0" borderId="33" xfId="7" applyFont="1" applyBorder="1" applyAlignment="1" applyProtection="1">
      <alignment horizontal="left" vertical="top"/>
    </xf>
    <xf numFmtId="0" fontId="0" fillId="0" borderId="34" xfId="6" applyFont="1" applyFill="1" applyBorder="1" applyAlignment="1" applyProtection="1">
      <alignment horizontal="left" vertical="top" wrapText="1"/>
    </xf>
    <xf numFmtId="0" fontId="22" fillId="0" borderId="0" xfId="0" applyFont="1" applyBorder="1" applyAlignment="1">
      <alignment horizontal="center" textRotation="90"/>
    </xf>
    <xf numFmtId="0" fontId="13" fillId="0" borderId="34" xfId="8" applyNumberFormat="1" applyFont="1" applyFill="1" applyBorder="1" applyAlignment="1" applyProtection="1">
      <alignment horizontal="left" wrapText="1"/>
    </xf>
    <xf numFmtId="0" fontId="13" fillId="0" borderId="35" xfId="6" applyFont="1" applyFill="1" applyBorder="1" applyAlignment="1" applyProtection="1">
      <alignment horizontal="left" wrapText="1"/>
    </xf>
    <xf numFmtId="0" fontId="11" fillId="0" borderId="35" xfId="6" applyFont="1" applyBorder="1" applyAlignment="1" applyProtection="1">
      <alignment horizontal="center"/>
    </xf>
    <xf numFmtId="166" fontId="13" fillId="8" borderId="34" xfId="8" applyFont="1" applyFill="1" applyBorder="1" applyAlignment="1" applyProtection="1">
      <alignment horizontal="left"/>
      <protection locked="0"/>
    </xf>
    <xf numFmtId="0" fontId="14" fillId="0" borderId="35" xfId="6" applyFont="1" applyBorder="1" applyAlignment="1" applyProtection="1">
      <alignment horizontal="center" vertical="center"/>
    </xf>
    <xf numFmtId="4" fontId="14" fillId="0" borderId="35" xfId="6" applyNumberFormat="1" applyFont="1" applyFill="1" applyBorder="1" applyAlignment="1" applyProtection="1">
      <alignment horizontal="center" vertical="center" wrapText="1"/>
    </xf>
    <xf numFmtId="0" fontId="12" fillId="0" borderId="35" xfId="6" applyFont="1" applyFill="1" applyBorder="1" applyAlignment="1" applyProtection="1">
      <alignment horizontal="center" vertical="center"/>
    </xf>
    <xf numFmtId="0" fontId="0" fillId="0" borderId="35" xfId="6" applyFont="1" applyBorder="1" applyAlignment="1" applyProtection="1">
      <alignment horizontal="center" vertical="center" wrapText="1"/>
    </xf>
    <xf numFmtId="4" fontId="14" fillId="0" borderId="35" xfId="6" applyNumberFormat="1" applyFont="1" applyFill="1" applyBorder="1" applyAlignment="1" applyProtection="1">
      <alignment horizontal="center" vertical="center"/>
    </xf>
    <xf numFmtId="0" fontId="15" fillId="7" borderId="35" xfId="6" applyFont="1" applyFill="1" applyBorder="1" applyAlignment="1" applyProtection="1">
      <alignment horizontal="center" vertical="center" wrapText="1"/>
    </xf>
    <xf numFmtId="0" fontId="17" fillId="0" borderId="0" xfId="6" applyFont="1" applyBorder="1" applyAlignment="1" applyProtection="1">
      <alignment horizontal="left" vertical="center" indent="1"/>
    </xf>
    <xf numFmtId="0" fontId="0" fillId="0" borderId="37" xfId="6" applyFont="1" applyBorder="1" applyAlignment="1" applyProtection="1">
      <alignment horizontal="left" vertical="center"/>
    </xf>
    <xf numFmtId="0" fontId="13" fillId="0" borderId="35" xfId="6" applyFont="1" applyBorder="1" applyAlignment="1" applyProtection="1">
      <alignment horizontal="left" vertical="center" wrapText="1"/>
    </xf>
    <xf numFmtId="49" fontId="0" fillId="6" borderId="35" xfId="6" applyNumberFormat="1" applyFont="1" applyFill="1" applyBorder="1" applyAlignment="1" applyProtection="1">
      <alignment horizontal="left" vertical="top" wrapText="1"/>
      <protection locked="0"/>
    </xf>
    <xf numFmtId="167" fontId="0" fillId="9" borderId="36" xfId="6" applyNumberFormat="1" applyFont="1" applyFill="1" applyBorder="1" applyAlignment="1" applyProtection="1">
      <alignment horizontal="left"/>
      <protection locked="0"/>
    </xf>
    <xf numFmtId="168" fontId="0" fillId="9" borderId="36" xfId="6" applyNumberFormat="1" applyFont="1" applyFill="1" applyBorder="1" applyAlignment="1" applyProtection="1">
      <alignment horizontal="left"/>
      <protection locked="0"/>
    </xf>
    <xf numFmtId="0" fontId="12" fillId="0" borderId="0" xfId="6" applyFont="1" applyBorder="1" applyAlignment="1" applyProtection="1">
      <alignment horizontal="left" vertical="center"/>
    </xf>
    <xf numFmtId="0" fontId="14" fillId="0" borderId="0" xfId="6" applyFont="1" applyBorder="1" applyAlignment="1" applyProtection="1">
      <alignment horizontal="left" vertical="center"/>
    </xf>
    <xf numFmtId="0" fontId="0" fillId="0" borderId="0" xfId="6" applyFont="1" applyBorder="1" applyAlignment="1" applyProtection="1">
      <alignment horizontal="center" vertical="center"/>
    </xf>
    <xf numFmtId="0" fontId="18" fillId="0" borderId="0" xfId="0" applyFont="1" applyBorder="1" applyAlignment="1" applyProtection="1">
      <alignment horizontal="right" vertical="center"/>
    </xf>
    <xf numFmtId="0" fontId="19" fillId="0" borderId="0" xfId="0" applyFont="1" applyBorder="1" applyAlignment="1" applyProtection="1">
      <alignment horizontal="center"/>
    </xf>
    <xf numFmtId="0" fontId="18" fillId="0" borderId="0" xfId="0" applyFont="1" applyBorder="1" applyAlignment="1" applyProtection="1">
      <alignment horizontal="left" vertical="center"/>
    </xf>
    <xf numFmtId="0" fontId="18" fillId="0" borderId="0" xfId="0" applyFont="1" applyBorder="1" applyAlignment="1" applyProtection="1">
      <alignment horizontal="center" vertical="top"/>
    </xf>
    <xf numFmtId="0" fontId="0" fillId="9" borderId="17" xfId="0" applyFill="1" applyBorder="1" applyAlignment="1" applyProtection="1">
      <alignment horizontal="center"/>
      <protection locked="0"/>
    </xf>
    <xf numFmtId="0" fontId="0" fillId="9" borderId="18" xfId="0" applyFill="1" applyBorder="1" applyAlignment="1" applyProtection="1">
      <alignment horizontal="center"/>
      <protection locked="0"/>
    </xf>
    <xf numFmtId="0" fontId="0" fillId="9" borderId="20" xfId="0" applyFill="1" applyBorder="1" applyAlignment="1" applyProtection="1">
      <alignment horizontal="center"/>
      <protection locked="0"/>
    </xf>
    <xf numFmtId="0" fontId="0" fillId="9" borderId="0" xfId="0" applyFill="1" applyBorder="1" applyAlignment="1" applyProtection="1">
      <alignment horizontal="center"/>
      <protection locked="0"/>
    </xf>
    <xf numFmtId="0" fontId="0" fillId="9" borderId="22" xfId="0" applyFill="1" applyBorder="1" applyAlignment="1" applyProtection="1">
      <alignment horizontal="center"/>
      <protection locked="0"/>
    </xf>
    <xf numFmtId="0" fontId="0" fillId="9" borderId="23" xfId="0" applyFill="1" applyBorder="1" applyAlignment="1" applyProtection="1">
      <alignment horizontal="center"/>
      <protection locked="0"/>
    </xf>
    <xf numFmtId="0" fontId="7" fillId="0" borderId="18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2" fillId="4" borderId="42" xfId="0" applyFont="1" applyFill="1" applyBorder="1" applyAlignment="1">
      <alignment horizontal="center"/>
    </xf>
    <xf numFmtId="0" fontId="2" fillId="4" borderId="38" xfId="0" applyFont="1" applyFill="1" applyBorder="1" applyAlignment="1">
      <alignment horizontal="center"/>
    </xf>
    <xf numFmtId="0" fontId="2" fillId="4" borderId="18" xfId="0" applyFont="1" applyFill="1" applyBorder="1" applyAlignment="1">
      <alignment horizontal="center"/>
    </xf>
    <xf numFmtId="0" fontId="2" fillId="4" borderId="19" xfId="0" applyFont="1" applyFill="1" applyBorder="1" applyAlignment="1">
      <alignment horizontal="center"/>
    </xf>
    <xf numFmtId="0" fontId="7" fillId="0" borderId="17" xfId="0" applyFont="1" applyBorder="1" applyAlignment="1">
      <alignment horizontal="center" vertical="center"/>
    </xf>
    <xf numFmtId="0" fontId="7" fillId="0" borderId="20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</cellXfs>
  <cellStyles count="9">
    <cellStyle name="Hiperlink" xfId="3" builtinId="8"/>
    <cellStyle name="Moeda" xfId="2" builtinId="4"/>
    <cellStyle name="Moeda_Composicao BDI v2.1" xfId="8"/>
    <cellStyle name="Normal" xfId="0" builtinId="0"/>
    <cellStyle name="Normal 2" xfId="6"/>
    <cellStyle name="Normal 2 2" xfId="5"/>
    <cellStyle name="Normal_FICHA DE VERIFICAÇÃO PRELIMINAR - Plano R" xfId="7"/>
    <cellStyle name="Porcentagem" xfId="4" builtinId="5"/>
    <cellStyle name="Vírgula" xfId="1" builtinId="3"/>
  </cellStyles>
  <dxfs count="86"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</dxf>
    <dxf>
      <font>
        <b val="0"/>
        <condense val="0"/>
        <extend val="0"/>
        <color indexed="17"/>
      </font>
      <border>
        <left style="thin">
          <color indexed="8"/>
        </left>
        <right style="thin">
          <color indexed="8"/>
        </right>
        <top style="thin">
          <color indexed="8"/>
        </top>
        <bottom style="thin">
          <color indexed="8"/>
        </bottom>
      </border>
    </dxf>
    <dxf>
      <font>
        <b val="0"/>
        <condense val="0"/>
        <extend val="0"/>
        <color indexed="10"/>
      </font>
      <border>
        <left style="thin">
          <color indexed="8"/>
        </left>
        <right style="thin">
          <color indexed="8"/>
        </right>
        <top style="thin">
          <color indexed="8"/>
        </top>
        <bottom style="thin">
          <color indexed="8"/>
        </bottom>
      </border>
    </dxf>
    <dxf>
      <font>
        <b/>
        <i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 style="thin">
          <color indexed="64"/>
        </top>
        <bottom/>
      </border>
    </dxf>
  </dxfs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hyperlink" Target="#OR&#199;AMENTO!M13"/><Relationship Id="rId1" Type="http://schemas.openxmlformats.org/officeDocument/2006/relationships/hyperlink" Target="#Menu!E6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279400</xdr:colOff>
      <xdr:row>1</xdr:row>
      <xdr:rowOff>23283</xdr:rowOff>
    </xdr:from>
    <xdr:to>
      <xdr:col>8</xdr:col>
      <xdr:colOff>131234</xdr:colOff>
      <xdr:row>3</xdr:row>
      <xdr:rowOff>8466</xdr:rowOff>
    </xdr:to>
    <xdr:sp macro="" textlink="" fLocksText="0">
      <xdr:nvSpPr>
        <xdr:cNvPr id="3" name="AutoShape 67">
          <a:hlinkClick xmlns:r="http://schemas.openxmlformats.org/officeDocument/2006/relationships" r:id="rId1"/>
        </xdr:cNvPr>
        <xdr:cNvSpPr>
          <a:spLocks noChangeArrowheads="1"/>
        </xdr:cNvSpPr>
      </xdr:nvSpPr>
      <xdr:spPr bwMode="auto">
        <a:xfrm>
          <a:off x="279400" y="223308"/>
          <a:ext cx="566209" cy="309033"/>
        </a:xfrm>
        <a:prstGeom prst="roundRect">
          <a:avLst>
            <a:gd name="adj" fmla="val 16667"/>
          </a:avLst>
        </a:prstGeom>
        <a:solidFill>
          <a:srgbClr val="99CCFF"/>
        </a:solidFill>
        <a:ln w="9360">
          <a:solidFill>
            <a:srgbClr val="80808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 vertOverflow="clip" wrap="square" lIns="27360" tIns="27360" rIns="27360" bIns="27360" anchor="ctr"/>
        <a:lstStyle/>
        <a:p>
          <a:pPr algn="ctr" rtl="0">
            <a:defRPr sz="1000"/>
          </a:pPr>
          <a:r>
            <a:rPr lang="pt-BR" sz="1100" b="1" i="0" u="none" strike="noStrike" baseline="0">
              <a:solidFill>
                <a:srgbClr val="000000"/>
              </a:solidFill>
              <a:latin typeface="Calibri"/>
            </a:rPr>
            <a:t>MENU</a:t>
          </a:r>
        </a:p>
      </xdr:txBody>
    </xdr:sp>
    <xdr:clientData/>
  </xdr:twoCellAnchor>
  <xdr:twoCellAnchor>
    <xdr:from>
      <xdr:col>7</xdr:col>
      <xdr:colOff>279399</xdr:colOff>
      <xdr:row>3</xdr:row>
      <xdr:rowOff>57150</xdr:rowOff>
    </xdr:from>
    <xdr:to>
      <xdr:col>8</xdr:col>
      <xdr:colOff>131233</xdr:colOff>
      <xdr:row>5</xdr:row>
      <xdr:rowOff>42333</xdr:rowOff>
    </xdr:to>
    <xdr:sp macro="" textlink="" fLocksText="0">
      <xdr:nvSpPr>
        <xdr:cNvPr id="4" name="AutoShape 67">
          <a:hlinkClick xmlns:r="http://schemas.openxmlformats.org/officeDocument/2006/relationships" r:id="rId2"/>
        </xdr:cNvPr>
        <xdr:cNvSpPr>
          <a:spLocks noChangeArrowheads="1"/>
        </xdr:cNvSpPr>
      </xdr:nvSpPr>
      <xdr:spPr bwMode="auto">
        <a:xfrm>
          <a:off x="279399" y="581025"/>
          <a:ext cx="566209" cy="309033"/>
        </a:xfrm>
        <a:prstGeom prst="roundRect">
          <a:avLst>
            <a:gd name="adj" fmla="val 16667"/>
          </a:avLst>
        </a:prstGeom>
        <a:solidFill>
          <a:srgbClr val="99CCFF"/>
        </a:solidFill>
        <a:ln w="9360">
          <a:solidFill>
            <a:srgbClr val="80808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 vertOverflow="clip" wrap="square" lIns="27360" tIns="27360" rIns="27360" bIns="27360" anchor="ctr"/>
        <a:lstStyle/>
        <a:p>
          <a:pPr algn="ctr" rtl="0">
            <a:defRPr sz="1000"/>
          </a:pPr>
          <a:r>
            <a:rPr lang="pt-BR" sz="1100" b="1" i="0" u="none" strike="noStrike" baseline="0">
              <a:solidFill>
                <a:srgbClr val="000000"/>
              </a:solidFill>
              <a:latin typeface="Calibri" panose="020F0502020204030204" pitchFamily="34" charset="0"/>
            </a:rPr>
            <a:t>→</a:t>
          </a:r>
          <a:endParaRPr lang="pt-BR" sz="1100" b="1" i="0" u="none" strike="noStrike" baseline="0">
            <a:solidFill>
              <a:srgbClr val="000000"/>
            </a:solidFill>
            <a:latin typeface="Calibri"/>
          </a:endParaRP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PLANILHA%20M&#218;LTIPLA%203342%20V3.0.5-17-06-2021-base-05-202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ENU"/>
      <sheetName val="DADOS"/>
      <sheetName val="NOVO"/>
      <sheetName val="BDI"/>
      <sheetName val="ORÇAMENTO"/>
      <sheetName val="CÁLCULO"/>
      <sheetName val="EVENTOS"/>
      <sheetName val="CRONO"/>
      <sheetName val="CRONOPLE"/>
      <sheetName val="PLE"/>
      <sheetName val="QCI"/>
      <sheetName val="BM"/>
      <sheetName val="RRE"/>
      <sheetName val="OFÍCIO"/>
    </sheetNames>
    <sheetDataSet>
      <sheetData sheetId="0"/>
      <sheetData sheetId="1">
        <row r="5">
          <cell r="F5" t="str">
            <v>Município de Amparo</v>
          </cell>
        </row>
        <row r="6">
          <cell r="F6" t="str">
            <v>Amparo / SP</v>
          </cell>
        </row>
        <row r="7">
          <cell r="F7" t="str">
            <v>1058459-76/2018</v>
          </cell>
        </row>
        <row r="8">
          <cell r="F8" t="str">
            <v>873742</v>
          </cell>
        </row>
        <row r="16">
          <cell r="F16" t="str">
            <v>CENTRO ESPORTIVO MOREIRINHA - FINALIZAÇÃO</v>
          </cell>
        </row>
        <row r="17">
          <cell r="F17" t="str">
            <v>CONTINUIDADE DO CENTRO ESPORTIVO JARDIM MOREIRINHA - 3ª ETAPA</v>
          </cell>
        </row>
        <row r="18">
          <cell r="F18" t="str">
            <v>DESONERADO</v>
          </cell>
        </row>
        <row r="22">
          <cell r="F22" t="str">
            <v>Calos Eduardo Mazzetto</v>
          </cell>
        </row>
        <row r="23">
          <cell r="F23" t="str">
            <v>5060363666</v>
          </cell>
        </row>
        <row r="24">
          <cell r="F24" t="str">
            <v>28027230191560992</v>
          </cell>
        </row>
      </sheetData>
      <sheetData sheetId="2"/>
      <sheetData sheetId="3">
        <row r="138">
          <cell r="A138" t="str">
            <v>(SELECIONAR)</v>
          </cell>
        </row>
        <row r="139">
          <cell r="A139" t="str">
            <v>Construção e Reforma de Edifícios</v>
          </cell>
        </row>
        <row r="140">
          <cell r="A140" t="str">
            <v>Construção de Praças Urbanas, Rodovias, Ferrovias e recapeamento e pavimentação de vias urbanas</v>
          </cell>
        </row>
        <row r="141">
          <cell r="A141" t="str">
            <v>Construção de Redes de Abastecimento de Água, Coleta de Esgoto</v>
          </cell>
        </row>
        <row r="142">
          <cell r="A142" t="str">
            <v>Construção e Manutenção de Estações e Redes de Distribuição de Energia Elétrica</v>
          </cell>
        </row>
        <row r="143">
          <cell r="A143" t="str">
            <v>Obras Portuárias, Marítimas e Fluviais</v>
          </cell>
        </row>
        <row r="144">
          <cell r="A144" t="str">
            <v>Fornecimento de Materiais e Equipamentos (aquisição indireta - em conjunto com licitação de obras)</v>
          </cell>
        </row>
        <row r="145">
          <cell r="A145" t="str">
            <v>Fornecimento de Materiais e Equipamentos (aquisição direta)</v>
          </cell>
        </row>
        <row r="146">
          <cell r="A146" t="str">
            <v>Estudos e Projetos, Planos e Gerenciamento e outros correlatos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s://mandatarias.plataformamaisbrasil.gov.br/projeto-basico/private/index.jsf?idProposta=1342572" TargetMode="External"/><Relationship Id="rId7" Type="http://schemas.openxmlformats.org/officeDocument/2006/relationships/printerSettings" Target="../printerSettings/printerSettings2.bin"/><Relationship Id="rId2" Type="http://schemas.openxmlformats.org/officeDocument/2006/relationships/hyperlink" Target="https://mandatarias.plataformamaisbrasil.gov.br/projeto-basico/private/index.jsf?idProposta=1342572" TargetMode="External"/><Relationship Id="rId1" Type="http://schemas.openxmlformats.org/officeDocument/2006/relationships/hyperlink" Target="https://mandatarias.plataformamaisbrasil.gov.br/projeto-basico/private/index.jsf?idProposta=1342572" TargetMode="External"/><Relationship Id="rId6" Type="http://schemas.openxmlformats.org/officeDocument/2006/relationships/hyperlink" Target="https://mandatarias.plataformamaisbrasil.gov.br/projeto-basico/private/index.jsf?idProposta=1342572" TargetMode="External"/><Relationship Id="rId5" Type="http://schemas.openxmlformats.org/officeDocument/2006/relationships/hyperlink" Target="https://mandatarias.plataformamaisbrasil.gov.br/projeto-basico/private/index.jsf?idProposta=1342572" TargetMode="External"/><Relationship Id="rId4" Type="http://schemas.openxmlformats.org/officeDocument/2006/relationships/hyperlink" Target="https://mandatarias.plataformamaisbrasil.gov.br/projeto-basico/private/index.jsf?idProposta=1342572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Z57"/>
  <sheetViews>
    <sheetView tabSelected="1" view="pageBreakPreview" topLeftCell="H1" zoomScale="60" zoomScaleNormal="100" workbookViewId="0">
      <selection activeCell="Z42" sqref="Z42"/>
    </sheetView>
  </sheetViews>
  <sheetFormatPr defaultRowHeight="15" x14ac:dyDescent="0.25"/>
  <cols>
    <col min="1" max="7" width="0" hidden="1" customWidth="1"/>
    <col min="19" max="19" width="15.140625" bestFit="1" customWidth="1"/>
  </cols>
  <sheetData>
    <row r="1" spans="1:19" ht="15.75" x14ac:dyDescent="0.25">
      <c r="A1" s="78"/>
      <c r="B1" s="78"/>
      <c r="C1" s="78"/>
      <c r="D1" s="78"/>
      <c r="E1" s="102" t="s">
        <v>438</v>
      </c>
      <c r="F1" s="102" t="s">
        <v>439</v>
      </c>
      <c r="G1" s="102" t="s">
        <v>440</v>
      </c>
      <c r="J1" s="112" t="s">
        <v>456</v>
      </c>
      <c r="K1" s="113"/>
      <c r="L1" s="114"/>
      <c r="M1" s="78"/>
      <c r="N1" s="78"/>
      <c r="O1" s="79" t="str">
        <f>"Quadro de Composição do BDI"</f>
        <v>Quadro de Composição do BDI</v>
      </c>
      <c r="P1" s="78"/>
      <c r="Q1" s="78"/>
      <c r="R1" s="174" t="s">
        <v>431</v>
      </c>
      <c r="S1" s="174"/>
    </row>
    <row r="2" spans="1:19" x14ac:dyDescent="0.25">
      <c r="A2" s="78" t="s">
        <v>267</v>
      </c>
      <c r="B2" s="103" t="s">
        <v>271</v>
      </c>
      <c r="C2" s="78" t="str">
        <f t="shared" ref="C2:C49" si="0">CONCATENATE(A2,"-",B2)</f>
        <v>Construção e Reforma de Edifícios-AC</v>
      </c>
      <c r="D2" s="78"/>
      <c r="E2" s="104">
        <v>0.03</v>
      </c>
      <c r="F2" s="104">
        <v>0.04</v>
      </c>
      <c r="G2" s="104">
        <v>5.5E-2</v>
      </c>
      <c r="J2" s="115"/>
      <c r="K2" s="111"/>
      <c r="L2" s="116"/>
      <c r="M2" s="78"/>
      <c r="N2" s="78"/>
      <c r="O2" s="78"/>
      <c r="P2" s="78"/>
      <c r="Q2" s="78"/>
      <c r="R2" s="175" t="s">
        <v>432</v>
      </c>
      <c r="S2" s="175"/>
    </row>
    <row r="3" spans="1:19" x14ac:dyDescent="0.25">
      <c r="A3" s="78" t="str">
        <f>A2</f>
        <v>Construção e Reforma de Edifícios</v>
      </c>
      <c r="B3" s="103" t="s">
        <v>272</v>
      </c>
      <c r="C3" s="78" t="str">
        <f t="shared" si="0"/>
        <v>Construção e Reforma de Edifícios-SG</v>
      </c>
      <c r="D3" s="78"/>
      <c r="E3" s="104">
        <v>8.0000000000000002E-3</v>
      </c>
      <c r="F3" s="104">
        <v>8.0000000000000002E-3</v>
      </c>
      <c r="G3" s="104">
        <v>0.01</v>
      </c>
      <c r="J3" s="117"/>
      <c r="K3" s="118"/>
      <c r="L3" s="119"/>
      <c r="M3" s="78"/>
      <c r="N3" s="78"/>
      <c r="O3" s="78"/>
      <c r="P3" s="78"/>
      <c r="Q3" s="78"/>
      <c r="R3" s="78"/>
      <c r="S3" s="78"/>
    </row>
    <row r="4" spans="1:19" x14ac:dyDescent="0.25">
      <c r="A4" s="78" t="str">
        <f>A3</f>
        <v>Construção e Reforma de Edifícios</v>
      </c>
      <c r="B4" s="103" t="s">
        <v>273</v>
      </c>
      <c r="C4" s="78" t="str">
        <f t="shared" si="0"/>
        <v>Construção e Reforma de Edifícios-R</v>
      </c>
      <c r="D4" s="78"/>
      <c r="E4" s="104">
        <v>9.7000000000000003E-3</v>
      </c>
      <c r="F4" s="104">
        <v>1.2699999999999999E-2</v>
      </c>
      <c r="G4" s="104">
        <v>1.2699999999999999E-2</v>
      </c>
      <c r="J4" s="176" t="s">
        <v>259</v>
      </c>
      <c r="K4" s="176"/>
      <c r="L4" s="176" t="s">
        <v>260</v>
      </c>
      <c r="M4" s="176"/>
      <c r="N4" s="176" t="s">
        <v>261</v>
      </c>
      <c r="O4" s="176"/>
      <c r="P4" s="176"/>
      <c r="Q4" s="176"/>
      <c r="R4" s="176"/>
      <c r="S4" s="176"/>
    </row>
    <row r="5" spans="1:19" x14ac:dyDescent="0.25">
      <c r="A5" s="78" t="str">
        <f>A4</f>
        <v>Construção e Reforma de Edifícios</v>
      </c>
      <c r="B5" s="103" t="s">
        <v>274</v>
      </c>
      <c r="C5" s="78" t="str">
        <f t="shared" si="0"/>
        <v>Construção e Reforma de Edifícios-DF</v>
      </c>
      <c r="D5" s="78"/>
      <c r="E5" s="104">
        <v>5.8999999999999999E-3</v>
      </c>
      <c r="F5" s="104">
        <v>1.23E-2</v>
      </c>
      <c r="G5" s="104">
        <v>1.3899999999999999E-2</v>
      </c>
      <c r="J5" s="177" t="str">
        <f>Import.CR</f>
        <v>1058459-76/2018</v>
      </c>
      <c r="K5" s="177"/>
      <c r="L5" s="177" t="str">
        <f>Import.SICONV</f>
        <v>873742</v>
      </c>
      <c r="M5" s="177"/>
      <c r="N5" s="177" t="str">
        <f>Import.Proponente</f>
        <v>Município de Amparo</v>
      </c>
      <c r="O5" s="177"/>
      <c r="P5" s="177"/>
      <c r="Q5" s="177"/>
      <c r="R5" s="177"/>
      <c r="S5" s="177"/>
    </row>
    <row r="6" spans="1:19" x14ac:dyDescent="0.25">
      <c r="A6" s="78" t="str">
        <f>A5</f>
        <v>Construção e Reforma de Edifícios</v>
      </c>
      <c r="B6" s="103" t="s">
        <v>275</v>
      </c>
      <c r="C6" s="78" t="str">
        <f t="shared" si="0"/>
        <v>Construção e Reforma de Edifícios-L</v>
      </c>
      <c r="D6" s="78"/>
      <c r="E6" s="104">
        <v>6.1600000000000002E-2</v>
      </c>
      <c r="F6" s="104">
        <v>7.400000000000001E-2</v>
      </c>
      <c r="G6" s="104">
        <v>8.9600000000000013E-2</v>
      </c>
      <c r="I6" s="178" t="s">
        <v>441</v>
      </c>
      <c r="J6" s="80"/>
      <c r="K6" s="80"/>
      <c r="L6" s="80"/>
      <c r="M6" s="80"/>
      <c r="N6" s="80"/>
      <c r="O6" s="80"/>
      <c r="P6" s="80"/>
      <c r="Q6" s="80"/>
      <c r="R6" s="80"/>
      <c r="S6" s="80"/>
    </row>
    <row r="7" spans="1:19" x14ac:dyDescent="0.25">
      <c r="A7" s="78" t="str">
        <f>A6</f>
        <v>Construção e Reforma de Edifícios</v>
      </c>
      <c r="B7" s="105" t="s">
        <v>283</v>
      </c>
      <c r="C7" s="78" t="str">
        <f t="shared" si="0"/>
        <v>Construção e Reforma de Edifícios-BDI PAD</v>
      </c>
      <c r="D7" s="78"/>
      <c r="E7" s="104">
        <v>0.2034</v>
      </c>
      <c r="F7" s="104">
        <v>0.22120000000000001</v>
      </c>
      <c r="G7" s="104">
        <v>0.25</v>
      </c>
      <c r="I7" s="178"/>
      <c r="J7" s="176" t="s">
        <v>262</v>
      </c>
      <c r="K7" s="176"/>
      <c r="L7" s="176"/>
      <c r="M7" s="176"/>
      <c r="N7" s="176"/>
      <c r="O7" s="176"/>
      <c r="P7" s="176"/>
      <c r="Q7" s="176"/>
      <c r="R7" s="176"/>
      <c r="S7" s="176"/>
    </row>
    <row r="8" spans="1:19" x14ac:dyDescent="0.25">
      <c r="A8" s="78" t="s">
        <v>442</v>
      </c>
      <c r="B8" s="103" t="s">
        <v>271</v>
      </c>
      <c r="C8" s="78" t="str">
        <f t="shared" si="0"/>
        <v>Construção de Praças Urbanas, Rodovias, Ferrovias e recapeamento e pavimentação de vias urbanas-AC</v>
      </c>
      <c r="D8" s="78"/>
      <c r="E8" s="104">
        <v>3.7999999999999999E-2</v>
      </c>
      <c r="F8" s="104">
        <v>4.0099999999999997E-2</v>
      </c>
      <c r="G8" s="104">
        <v>4.6699999999999998E-2</v>
      </c>
      <c r="I8" s="178"/>
      <c r="J8" s="179" t="str">
        <f>Import.Apelido&amp;" / "&amp;Import.DescLote</f>
        <v>CENTRO ESPORTIVO MOREIRINHA - FINALIZAÇÃO / CONTINUIDADE DO CENTRO ESPORTIVO JARDIM MOREIRINHA - 3ª ETAPA</v>
      </c>
      <c r="K8" s="179"/>
      <c r="L8" s="179"/>
      <c r="M8" s="179"/>
      <c r="N8" s="179"/>
      <c r="O8" s="179"/>
      <c r="P8" s="179"/>
      <c r="Q8" s="179"/>
      <c r="R8" s="179"/>
      <c r="S8" s="179"/>
    </row>
    <row r="9" spans="1:19" x14ac:dyDescent="0.25">
      <c r="A9" s="78" t="s">
        <v>442</v>
      </c>
      <c r="B9" s="103" t="s">
        <v>272</v>
      </c>
      <c r="C9" s="78" t="str">
        <f t="shared" si="0"/>
        <v>Construção de Praças Urbanas, Rodovias, Ferrovias e recapeamento e pavimentação de vias urbanas-SG</v>
      </c>
      <c r="D9" s="78"/>
      <c r="E9" s="104">
        <v>3.2000000000000002E-3</v>
      </c>
      <c r="F9" s="104">
        <v>4.0000000000000001E-3</v>
      </c>
      <c r="G9" s="104">
        <v>7.4000000000000003E-3</v>
      </c>
      <c r="I9" s="178"/>
      <c r="J9" s="80"/>
      <c r="K9" s="80"/>
      <c r="L9" s="80"/>
      <c r="M9" s="80"/>
      <c r="N9" s="80"/>
      <c r="O9" s="80"/>
      <c r="P9" s="80"/>
      <c r="Q9" s="80"/>
      <c r="R9" s="80"/>
      <c r="S9" s="80"/>
    </row>
    <row r="10" spans="1:19" x14ac:dyDescent="0.25">
      <c r="A10" s="78" t="s">
        <v>442</v>
      </c>
      <c r="B10" s="103" t="s">
        <v>273</v>
      </c>
      <c r="C10" s="78" t="str">
        <f t="shared" si="0"/>
        <v>Construção de Praças Urbanas, Rodovias, Ferrovias e recapeamento e pavimentação de vias urbanas-R</v>
      </c>
      <c r="D10" s="78"/>
      <c r="E10" s="104">
        <v>5.0000000000000001E-3</v>
      </c>
      <c r="F10" s="104">
        <v>5.6000000000000008E-3</v>
      </c>
      <c r="G10" s="104">
        <v>9.7000000000000003E-3</v>
      </c>
      <c r="I10" s="178"/>
      <c r="J10" s="180" t="s">
        <v>263</v>
      </c>
      <c r="K10" s="180"/>
      <c r="L10" s="180"/>
      <c r="M10" s="180"/>
      <c r="N10" s="180"/>
      <c r="O10" s="180"/>
      <c r="P10" s="180"/>
      <c r="Q10" s="180"/>
      <c r="R10" s="173">
        <v>0.05</v>
      </c>
      <c r="S10" s="173"/>
    </row>
    <row r="11" spans="1:19" x14ac:dyDescent="0.25">
      <c r="A11" s="78" t="s">
        <v>442</v>
      </c>
      <c r="B11" s="103" t="s">
        <v>274</v>
      </c>
      <c r="C11" s="78" t="str">
        <f t="shared" si="0"/>
        <v>Construção de Praças Urbanas, Rodovias, Ferrovias e recapeamento e pavimentação de vias urbanas-DF</v>
      </c>
      <c r="D11" s="78"/>
      <c r="E11" s="104">
        <v>1.0200000000000001E-2</v>
      </c>
      <c r="F11" s="104">
        <v>1.11E-2</v>
      </c>
      <c r="G11" s="104">
        <v>1.21E-2</v>
      </c>
      <c r="I11" s="106" t="s">
        <v>443</v>
      </c>
      <c r="J11" s="172" t="s">
        <v>264</v>
      </c>
      <c r="K11" s="172"/>
      <c r="L11" s="172"/>
      <c r="M11" s="172"/>
      <c r="N11" s="172"/>
      <c r="O11" s="172"/>
      <c r="P11" s="172"/>
      <c r="Q11" s="172"/>
      <c r="R11" s="173">
        <v>0.8</v>
      </c>
      <c r="S11" s="173"/>
    </row>
    <row r="12" spans="1:19" ht="9" customHeight="1" x14ac:dyDescent="0.25">
      <c r="A12" s="78" t="s">
        <v>442</v>
      </c>
      <c r="B12" s="103" t="s">
        <v>275</v>
      </c>
      <c r="C12" s="78" t="str">
        <f t="shared" si="0"/>
        <v>Construção de Praças Urbanas, Rodovias, Ferrovias e recapeamento e pavimentação de vias urbanas-L</v>
      </c>
      <c r="D12" s="78"/>
      <c r="E12" s="104">
        <v>6.6400000000000001E-2</v>
      </c>
      <c r="F12" s="104">
        <v>7.2999999999999995E-2</v>
      </c>
      <c r="G12" s="104">
        <v>8.6899999999999991E-2</v>
      </c>
      <c r="I12" t="s">
        <v>444</v>
      </c>
      <c r="J12" s="81"/>
      <c r="K12" s="81"/>
      <c r="L12" s="81"/>
      <c r="M12" s="81"/>
      <c r="N12" s="81"/>
      <c r="O12" s="81"/>
      <c r="P12" s="81"/>
      <c r="Q12" s="81"/>
      <c r="R12" s="81"/>
      <c r="S12" s="81"/>
    </row>
    <row r="13" spans="1:19" hidden="1" x14ac:dyDescent="0.25">
      <c r="A13" s="78" t="s">
        <v>442</v>
      </c>
      <c r="B13" s="105" t="s">
        <v>283</v>
      </c>
      <c r="C13" s="78" t="str">
        <f t="shared" si="0"/>
        <v>Construção de Praças Urbanas, Rodovias, Ferrovias e recapeamento e pavimentação de vias urbanas-BDI PAD</v>
      </c>
      <c r="D13" s="78"/>
      <c r="E13" s="104">
        <v>0.19600000000000001</v>
      </c>
      <c r="F13" s="104">
        <v>0.2097</v>
      </c>
      <c r="G13" s="104">
        <v>0.24230000000000002</v>
      </c>
      <c r="I13" t="s">
        <v>444</v>
      </c>
      <c r="J13" s="78"/>
      <c r="K13" s="78"/>
      <c r="L13" s="78"/>
      <c r="M13" s="78"/>
      <c r="N13" s="78"/>
      <c r="O13" s="78"/>
      <c r="P13" s="78"/>
      <c r="Q13" s="78"/>
      <c r="R13" s="78"/>
      <c r="S13" s="78"/>
    </row>
    <row r="14" spans="1:19" ht="15.75" x14ac:dyDescent="0.25">
      <c r="A14" s="78" t="s">
        <v>445</v>
      </c>
      <c r="B14" s="103" t="s">
        <v>271</v>
      </c>
      <c r="C14" s="78" t="str">
        <f t="shared" si="0"/>
        <v>Construção de Redes de Abastecimento de Água, Coleta de Esgoto-AC</v>
      </c>
      <c r="D14" s="78"/>
      <c r="E14" s="104">
        <v>3.4300000000000004E-2</v>
      </c>
      <c r="F14" s="104">
        <v>4.9299999999999997E-2</v>
      </c>
      <c r="G14" s="104">
        <v>6.7099999999999993E-2</v>
      </c>
      <c r="I14" t="s">
        <v>444</v>
      </c>
      <c r="J14" s="181" t="s">
        <v>265</v>
      </c>
      <c r="K14" s="181"/>
      <c r="L14" s="181"/>
      <c r="M14" s="181"/>
      <c r="N14" s="181"/>
      <c r="O14" s="181"/>
      <c r="P14" s="181"/>
      <c r="Q14" s="181"/>
      <c r="R14" s="181"/>
      <c r="S14" s="181"/>
    </row>
    <row r="15" spans="1:19" ht="5.25" customHeight="1" x14ac:dyDescent="0.25">
      <c r="A15" s="78" t="str">
        <f>A14</f>
        <v>Construção de Redes de Abastecimento de Água, Coleta de Esgoto</v>
      </c>
      <c r="B15" s="103" t="s">
        <v>272</v>
      </c>
      <c r="C15" s="78" t="str">
        <f t="shared" si="0"/>
        <v>Construção de Redes de Abastecimento de Água, Coleta de Esgoto-SG</v>
      </c>
      <c r="D15" s="78"/>
      <c r="E15" s="104">
        <v>2.8000000000000004E-3</v>
      </c>
      <c r="F15" s="104">
        <v>4.8999999999999998E-3</v>
      </c>
      <c r="G15" s="104">
        <v>7.4999999999999997E-3</v>
      </c>
      <c r="I15" t="s">
        <v>444</v>
      </c>
      <c r="J15" s="78"/>
      <c r="K15" s="78"/>
      <c r="L15" s="78"/>
      <c r="M15" s="78"/>
      <c r="N15" s="78"/>
      <c r="O15" s="78"/>
      <c r="P15" s="78"/>
      <c r="Q15" s="78"/>
      <c r="R15" s="78"/>
      <c r="S15" s="78"/>
    </row>
    <row r="16" spans="1:19" x14ac:dyDescent="0.25">
      <c r="A16" s="78" t="str">
        <f>A15</f>
        <v>Construção de Redes de Abastecimento de Água, Coleta de Esgoto</v>
      </c>
      <c r="B16" s="103" t="s">
        <v>273</v>
      </c>
      <c r="C16" s="78" t="str">
        <f t="shared" si="0"/>
        <v>Construção de Redes de Abastecimento de Água, Coleta de Esgoto-R</v>
      </c>
      <c r="D16" s="78"/>
      <c r="E16" s="104">
        <v>0.01</v>
      </c>
      <c r="F16" s="104">
        <v>1.3899999999999999E-2</v>
      </c>
      <c r="G16" s="104">
        <v>1.7399999999999999E-2</v>
      </c>
      <c r="I16" t="s">
        <v>444</v>
      </c>
      <c r="J16" s="176" t="s">
        <v>266</v>
      </c>
      <c r="K16" s="176"/>
      <c r="L16" s="176"/>
      <c r="M16" s="176"/>
      <c r="N16" s="176"/>
      <c r="O16" s="176"/>
      <c r="P16" s="176"/>
      <c r="Q16" s="176"/>
      <c r="R16" s="176"/>
      <c r="S16" s="176"/>
    </row>
    <row r="17" spans="1:26" x14ac:dyDescent="0.25">
      <c r="A17" s="78" t="str">
        <f>A16</f>
        <v>Construção de Redes de Abastecimento de Água, Coleta de Esgoto</v>
      </c>
      <c r="B17" s="103" t="s">
        <v>274</v>
      </c>
      <c r="C17" s="78" t="str">
        <f t="shared" si="0"/>
        <v>Construção de Redes de Abastecimento de Água, Coleta de Esgoto-DF</v>
      </c>
      <c r="D17" s="78"/>
      <c r="E17" s="104">
        <v>9.3999999999999986E-3</v>
      </c>
      <c r="F17" s="104">
        <v>9.8999999999999991E-3</v>
      </c>
      <c r="G17" s="104">
        <v>1.1699999999999999E-2</v>
      </c>
      <c r="I17" t="s">
        <v>444</v>
      </c>
      <c r="J17" s="182" t="s">
        <v>267</v>
      </c>
      <c r="K17" s="182"/>
      <c r="L17" s="182"/>
      <c r="M17" s="182"/>
      <c r="N17" s="182"/>
      <c r="O17" s="182"/>
      <c r="P17" s="182"/>
      <c r="Q17" s="182"/>
      <c r="R17" s="182"/>
      <c r="S17" s="182"/>
    </row>
    <row r="18" spans="1:26" x14ac:dyDescent="0.25">
      <c r="A18" s="78" t="str">
        <f>A17</f>
        <v>Construção de Redes de Abastecimento de Água, Coleta de Esgoto</v>
      </c>
      <c r="B18" s="103" t="s">
        <v>275</v>
      </c>
      <c r="C18" s="78" t="str">
        <f t="shared" si="0"/>
        <v>Construção de Redes de Abastecimento de Água, Coleta de Esgoto-L</v>
      </c>
      <c r="D18" s="78"/>
      <c r="E18" s="104">
        <v>6.7400000000000002E-2</v>
      </c>
      <c r="F18" s="104">
        <v>8.0399999999999985E-2</v>
      </c>
      <c r="G18" s="104">
        <v>9.4E-2</v>
      </c>
      <c r="I18" t="s">
        <v>444</v>
      </c>
      <c r="J18" s="78"/>
      <c r="K18" s="78"/>
      <c r="L18" s="78"/>
      <c r="M18" s="78"/>
      <c r="N18" s="78"/>
      <c r="O18" s="78"/>
      <c r="P18" s="78"/>
      <c r="Q18" s="78"/>
      <c r="R18" s="78"/>
      <c r="S18" s="78"/>
    </row>
    <row r="19" spans="1:26" x14ac:dyDescent="0.25">
      <c r="A19" s="78" t="str">
        <f>A18</f>
        <v>Construção de Redes de Abastecimento de Água, Coleta de Esgoto</v>
      </c>
      <c r="B19" s="105" t="s">
        <v>283</v>
      </c>
      <c r="C19" s="78" t="str">
        <f t="shared" si="0"/>
        <v>Construção de Redes de Abastecimento de Água, Coleta de Esgoto-BDI PAD</v>
      </c>
      <c r="D19" s="78"/>
      <c r="E19" s="104">
        <v>0.20760000000000001</v>
      </c>
      <c r="F19" s="104">
        <v>0.24179999999999999</v>
      </c>
      <c r="G19" s="104">
        <v>0.26440000000000002</v>
      </c>
      <c r="I19" t="s">
        <v>444</v>
      </c>
      <c r="J19" s="183" t="s">
        <v>268</v>
      </c>
      <c r="K19" s="183"/>
      <c r="L19" s="183"/>
      <c r="M19" s="183"/>
      <c r="N19" s="183"/>
      <c r="O19" s="183"/>
      <c r="P19" s="183"/>
      <c r="Q19" s="183"/>
      <c r="R19" s="183" t="s">
        <v>269</v>
      </c>
      <c r="S19" s="184" t="s">
        <v>270</v>
      </c>
      <c r="U19" s="184" t="s">
        <v>433</v>
      </c>
      <c r="V19" s="184"/>
      <c r="W19" s="184"/>
      <c r="X19" s="185" t="s">
        <v>434</v>
      </c>
      <c r="Y19" s="185" t="s">
        <v>435</v>
      </c>
      <c r="Z19" s="185" t="s">
        <v>436</v>
      </c>
    </row>
    <row r="20" spans="1:26" x14ac:dyDescent="0.25">
      <c r="A20" s="78" t="s">
        <v>446</v>
      </c>
      <c r="B20" s="103" t="s">
        <v>271</v>
      </c>
      <c r="C20" s="78" t="str">
        <f t="shared" si="0"/>
        <v>Construção e Manutenção de Estações e Redes de Distribuição de Energia Elétrica-AC</v>
      </c>
      <c r="D20" s="78"/>
      <c r="E20" s="104">
        <v>5.2900000000000003E-2</v>
      </c>
      <c r="F20" s="104">
        <v>5.9200000000000003E-2</v>
      </c>
      <c r="G20" s="104">
        <v>7.9299999999999995E-2</v>
      </c>
      <c r="I20" t="s">
        <v>444</v>
      </c>
      <c r="J20" s="183"/>
      <c r="K20" s="183"/>
      <c r="L20" s="183"/>
      <c r="M20" s="183"/>
      <c r="N20" s="183"/>
      <c r="O20" s="183"/>
      <c r="P20" s="183"/>
      <c r="Q20" s="183"/>
      <c r="R20" s="183"/>
      <c r="S20" s="184"/>
      <c r="U20" s="184"/>
      <c r="V20" s="184"/>
      <c r="W20" s="184"/>
      <c r="X20" s="185"/>
      <c r="Y20" s="185"/>
      <c r="Z20" s="185"/>
    </row>
    <row r="21" spans="1:26" x14ac:dyDescent="0.25">
      <c r="A21" s="78" t="str">
        <f>A20</f>
        <v>Construção e Manutenção de Estações e Redes de Distribuição de Energia Elétrica</v>
      </c>
      <c r="B21" s="103" t="s">
        <v>272</v>
      </c>
      <c r="C21" s="78" t="str">
        <f t="shared" si="0"/>
        <v>Construção e Manutenção de Estações e Redes de Distribuição de Energia Elétrica-SG</v>
      </c>
      <c r="D21" s="78"/>
      <c r="E21" s="104">
        <v>2.5000000000000001E-3</v>
      </c>
      <c r="F21" s="104">
        <v>5.1000000000000004E-3</v>
      </c>
      <c r="G21" s="104">
        <v>5.6000000000000008E-3</v>
      </c>
      <c r="I21" t="s">
        <v>444</v>
      </c>
      <c r="J21" s="186" t="str">
        <f>IF($J$17=$A$145,"Encargos Sociais incidentes sobre a mão de obra","Administração Central")</f>
        <v>Administração Central</v>
      </c>
      <c r="K21" s="186"/>
      <c r="L21" s="186"/>
      <c r="M21" s="186"/>
      <c r="N21" s="186"/>
      <c r="O21" s="186"/>
      <c r="P21" s="186"/>
      <c r="Q21" s="186"/>
      <c r="R21" s="82" t="str">
        <f>IF($J17=$A$145,"K1","AC")</f>
        <v>AC</v>
      </c>
      <c r="S21" s="83">
        <v>0.03</v>
      </c>
      <c r="U21" s="187" t="s">
        <v>437</v>
      </c>
      <c r="V21" s="187"/>
      <c r="W21" s="187"/>
      <c r="X21" s="84">
        <f>VLOOKUP(CONCATENATE(J17,"-",R21),$C$2:$G$135,3,FALSE)</f>
        <v>0.03</v>
      </c>
      <c r="Y21" s="84">
        <f>VLOOKUP(CONCATENATE(J17,"-",R21),$C$2:$G$135,4,FALSE)</f>
        <v>0.04</v>
      </c>
      <c r="Z21" s="84">
        <f>VLOOKUP(CONCATENATE(J17,"-",R21),$C$2:$G$135,5,FALSE)</f>
        <v>5.5E-2</v>
      </c>
    </row>
    <row r="22" spans="1:26" x14ac:dyDescent="0.25">
      <c r="A22" s="78" t="str">
        <f>A21</f>
        <v>Construção e Manutenção de Estações e Redes de Distribuição de Energia Elétrica</v>
      </c>
      <c r="B22" s="103" t="s">
        <v>273</v>
      </c>
      <c r="C22" s="78" t="str">
        <f t="shared" si="0"/>
        <v>Construção e Manutenção de Estações e Redes de Distribuição de Energia Elétrica-R</v>
      </c>
      <c r="D22" s="78"/>
      <c r="E22" s="104">
        <v>0.01</v>
      </c>
      <c r="F22" s="104">
        <v>1.4800000000000001E-2</v>
      </c>
      <c r="G22" s="104">
        <v>1.9699999999999999E-2</v>
      </c>
      <c r="I22" t="s">
        <v>444</v>
      </c>
      <c r="J22" s="186" t="str">
        <f>IF($J$17=$A$145,"Administração Central da empresa ou consultoria - overhead","Seguro e Garantia")</f>
        <v>Seguro e Garantia</v>
      </c>
      <c r="K22" s="186"/>
      <c r="L22" s="186"/>
      <c r="M22" s="186"/>
      <c r="N22" s="186"/>
      <c r="O22" s="186"/>
      <c r="P22" s="186"/>
      <c r="Q22" s="186"/>
      <c r="R22" s="82" t="str">
        <f>IF($J17=$A$145,"K2","SG")</f>
        <v>SG</v>
      </c>
      <c r="S22" s="83">
        <v>8.0000000000000002E-3</v>
      </c>
      <c r="U22" s="187" t="s">
        <v>437</v>
      </c>
      <c r="V22" s="187"/>
      <c r="W22" s="187"/>
      <c r="X22" s="84">
        <f>VLOOKUP(CONCATENATE(J17,"-",R22),$C$2:$G$135,3,FALSE)</f>
        <v>8.0000000000000002E-3</v>
      </c>
      <c r="Y22" s="84">
        <f>VLOOKUP(CONCATENATE(J17,"-",R22),$C$2:$G$135,4,FALSE)</f>
        <v>8.0000000000000002E-3</v>
      </c>
      <c r="Z22" s="84">
        <f>VLOOKUP(CONCATENATE(J17,"-",R22),$C$2:$G$135,5,FALSE)</f>
        <v>0.01</v>
      </c>
    </row>
    <row r="23" spans="1:26" x14ac:dyDescent="0.25">
      <c r="A23" s="78" t="str">
        <f>A22</f>
        <v>Construção e Manutenção de Estações e Redes de Distribuição de Energia Elétrica</v>
      </c>
      <c r="B23" s="103" t="s">
        <v>274</v>
      </c>
      <c r="C23" s="78" t="str">
        <f t="shared" si="0"/>
        <v>Construção e Manutenção de Estações e Redes de Distribuição de Energia Elétrica-DF</v>
      </c>
      <c r="D23" s="78"/>
      <c r="E23" s="104">
        <v>1.01E-2</v>
      </c>
      <c r="F23" s="104">
        <v>1.0700000000000001E-2</v>
      </c>
      <c r="G23" s="104">
        <v>1.11E-2</v>
      </c>
      <c r="I23" t="s">
        <v>444</v>
      </c>
      <c r="J23" s="186" t="str">
        <f>IF($J$17=$A$145,"","Risco")</f>
        <v>Risco</v>
      </c>
      <c r="K23" s="186"/>
      <c r="L23" s="186"/>
      <c r="M23" s="186"/>
      <c r="N23" s="186"/>
      <c r="O23" s="186"/>
      <c r="P23" s="186"/>
      <c r="Q23" s="186"/>
      <c r="R23" s="82" t="str">
        <f>IF($J17=$A$145,"","R")</f>
        <v>R</v>
      </c>
      <c r="S23" s="83">
        <v>9.7000000000000003E-3</v>
      </c>
      <c r="U23" s="187" t="s">
        <v>437</v>
      </c>
      <c r="V23" s="187"/>
      <c r="W23" s="187"/>
      <c r="X23" s="84">
        <f>VLOOKUP(CONCATENATE(J17,"-",R23),$C$2:$G$135,3,FALSE)</f>
        <v>9.7000000000000003E-3</v>
      </c>
      <c r="Y23" s="84">
        <f>VLOOKUP(CONCATENATE(J17,"-",R23),$C$2:$G$135,4,FALSE)</f>
        <v>1.2699999999999999E-2</v>
      </c>
      <c r="Z23" s="84">
        <f>VLOOKUP(CONCATENATE(J17,"-",R23),$C$2:$G$135,5,FALSE)</f>
        <v>1.2699999999999999E-2</v>
      </c>
    </row>
    <row r="24" spans="1:26" x14ac:dyDescent="0.25">
      <c r="A24" s="78" t="str">
        <f>A23</f>
        <v>Construção e Manutenção de Estações e Redes de Distribuição de Energia Elétrica</v>
      </c>
      <c r="B24" s="103" t="s">
        <v>275</v>
      </c>
      <c r="C24" s="78" t="str">
        <f t="shared" si="0"/>
        <v>Construção e Manutenção de Estações e Redes de Distribuição de Energia Elétrica-L</v>
      </c>
      <c r="D24" s="78"/>
      <c r="E24" s="104">
        <v>0.08</v>
      </c>
      <c r="F24" s="104">
        <v>8.3100000000000007E-2</v>
      </c>
      <c r="G24" s="104">
        <v>9.5100000000000004E-2</v>
      </c>
      <c r="I24" t="s">
        <v>444</v>
      </c>
      <c r="J24" s="186" t="str">
        <f>IF($J$17=$A$145,"","Despesas Financeiras")</f>
        <v>Despesas Financeiras</v>
      </c>
      <c r="K24" s="186"/>
      <c r="L24" s="186"/>
      <c r="M24" s="186"/>
      <c r="N24" s="186"/>
      <c r="O24" s="186"/>
      <c r="P24" s="186"/>
      <c r="Q24" s="186"/>
      <c r="R24" s="82" t="str">
        <f>IF($J17=$A$145,"","DF")</f>
        <v>DF</v>
      </c>
      <c r="S24" s="83">
        <v>5.8999999999999999E-3</v>
      </c>
      <c r="U24" s="187" t="s">
        <v>437</v>
      </c>
      <c r="V24" s="187"/>
      <c r="W24" s="187"/>
      <c r="X24" s="84">
        <f>VLOOKUP(CONCATENATE(J17,"-",R24),$C$2:$G$135,3,FALSE)</f>
        <v>5.8999999999999999E-3</v>
      </c>
      <c r="Y24" s="84">
        <f>VLOOKUP(CONCATENATE(J17,"-",R24),$C$2:$G$135,4,FALSE)</f>
        <v>1.23E-2</v>
      </c>
      <c r="Z24" s="84">
        <f>VLOOKUP(CONCATENATE(J17,"-",R24),$C$2:$G$135,5,FALSE)</f>
        <v>1.3899999999999999E-2</v>
      </c>
    </row>
    <row r="25" spans="1:26" x14ac:dyDescent="0.25">
      <c r="A25" s="78" t="str">
        <f>A24</f>
        <v>Construção e Manutenção de Estações e Redes de Distribuição de Energia Elétrica</v>
      </c>
      <c r="B25" s="105" t="s">
        <v>283</v>
      </c>
      <c r="C25" s="78" t="str">
        <f t="shared" si="0"/>
        <v>Construção e Manutenção de Estações e Redes de Distribuição de Energia Elétrica-BDI PAD</v>
      </c>
      <c r="D25" s="78"/>
      <c r="E25" s="104">
        <v>0.24</v>
      </c>
      <c r="F25" s="104">
        <v>0.25840000000000002</v>
      </c>
      <c r="G25" s="104">
        <v>0.27860000000000001</v>
      </c>
      <c r="I25" t="s">
        <v>444</v>
      </c>
      <c r="J25" s="186" t="str">
        <f>IF($J$17=$A$145,"Margem bruta da empresa de consultoria","Lucro")</f>
        <v>Lucro</v>
      </c>
      <c r="K25" s="186"/>
      <c r="L25" s="186"/>
      <c r="M25" s="186"/>
      <c r="N25" s="186"/>
      <c r="O25" s="186"/>
      <c r="P25" s="186"/>
      <c r="Q25" s="186"/>
      <c r="R25" s="82" t="str">
        <f>IF($J17=$A$145,"K3","L")</f>
        <v>L</v>
      </c>
      <c r="S25" s="83">
        <v>6.1600000000000002E-2</v>
      </c>
      <c r="U25" s="187" t="s">
        <v>437</v>
      </c>
      <c r="V25" s="187"/>
      <c r="W25" s="187"/>
      <c r="X25" s="84">
        <f>VLOOKUP(CONCATENATE(J17,"-",R25),$C$2:$G$135,3,FALSE)</f>
        <v>6.1600000000000002E-2</v>
      </c>
      <c r="Y25" s="84">
        <f>VLOOKUP(CONCATENATE(J17,"-",R25),$C$2:$G$135,4,FALSE)</f>
        <v>7.400000000000001E-2</v>
      </c>
      <c r="Z25" s="84">
        <f>VLOOKUP(CONCATENATE(J17,"-",R25),$C$2:$G$135,5,FALSE)</f>
        <v>8.9600000000000013E-2</v>
      </c>
    </row>
    <row r="26" spans="1:26" x14ac:dyDescent="0.25">
      <c r="A26" s="78" t="s">
        <v>447</v>
      </c>
      <c r="B26" s="103" t="s">
        <v>271</v>
      </c>
      <c r="C26" s="78" t="str">
        <f t="shared" si="0"/>
        <v>Obras Portuárias, Marítimas e Fluviais-AC</v>
      </c>
      <c r="D26" s="78"/>
      <c r="E26" s="104">
        <v>0.04</v>
      </c>
      <c r="F26" s="104">
        <v>5.5199999999999999E-2</v>
      </c>
      <c r="G26" s="104">
        <v>7.85E-2</v>
      </c>
      <c r="I26" t="s">
        <v>444</v>
      </c>
      <c r="J26" s="186" t="s">
        <v>276</v>
      </c>
      <c r="K26" s="186"/>
      <c r="L26" s="186"/>
      <c r="M26" s="186"/>
      <c r="N26" s="186"/>
      <c r="O26" s="186"/>
      <c r="P26" s="186"/>
      <c r="Q26" s="186"/>
      <c r="R26" s="82" t="s">
        <v>277</v>
      </c>
      <c r="S26" s="83">
        <v>3.6499999999999998E-2</v>
      </c>
      <c r="U26" s="187" t="s">
        <v>437</v>
      </c>
      <c r="V26" s="187"/>
      <c r="W26" s="187"/>
      <c r="X26" s="84">
        <v>3.6499999999999998E-2</v>
      </c>
      <c r="Y26" s="84">
        <v>3.6499999999999998E-2</v>
      </c>
      <c r="Z26" s="84">
        <v>3.6499999999999998E-2</v>
      </c>
    </row>
    <row r="27" spans="1:26" x14ac:dyDescent="0.25">
      <c r="A27" s="78" t="str">
        <f>A26</f>
        <v>Obras Portuárias, Marítimas e Fluviais</v>
      </c>
      <c r="B27" s="103" t="s">
        <v>272</v>
      </c>
      <c r="C27" s="78" t="str">
        <f t="shared" si="0"/>
        <v>Obras Portuárias, Marítimas e Fluviais-SG</v>
      </c>
      <c r="D27" s="78"/>
      <c r="E27" s="104">
        <v>8.1000000000000013E-3</v>
      </c>
      <c r="F27" s="104">
        <v>1.2199999999999999E-2</v>
      </c>
      <c r="G27" s="104">
        <v>1.9900000000000001E-2</v>
      </c>
      <c r="I27" t="s">
        <v>444</v>
      </c>
      <c r="J27" s="186" t="s">
        <v>278</v>
      </c>
      <c r="K27" s="186"/>
      <c r="L27" s="186"/>
      <c r="M27" s="186"/>
      <c r="N27" s="186"/>
      <c r="O27" s="186"/>
      <c r="P27" s="186"/>
      <c r="Q27" s="186"/>
      <c r="R27" s="82" t="s">
        <v>279</v>
      </c>
      <c r="S27" s="84">
        <f ca="1">IF(AND($J17&lt;&gt;$A$144,COUNTA(OFFSET(S20,1,0,6))&gt;0),$R$11*$R$10,0)</f>
        <v>4.0000000000000008E-2</v>
      </c>
      <c r="U27" s="187" t="s">
        <v>437</v>
      </c>
      <c r="V27" s="187"/>
      <c r="W27" s="187"/>
      <c r="X27" s="84">
        <v>0</v>
      </c>
      <c r="Y27" s="84">
        <v>2.5000000000000001E-2</v>
      </c>
      <c r="Z27" s="84">
        <v>0.05</v>
      </c>
    </row>
    <row r="28" spans="1:26" x14ac:dyDescent="0.25">
      <c r="A28" s="78" t="str">
        <f>A27</f>
        <v>Obras Portuárias, Marítimas e Fluviais</v>
      </c>
      <c r="B28" s="103" t="s">
        <v>273</v>
      </c>
      <c r="C28" s="78" t="str">
        <f t="shared" si="0"/>
        <v>Obras Portuárias, Marítimas e Fluviais-R</v>
      </c>
      <c r="D28" s="78"/>
      <c r="E28" s="104">
        <v>1.46E-2</v>
      </c>
      <c r="F28" s="104">
        <v>2.3199999999999998E-2</v>
      </c>
      <c r="G28" s="104">
        <v>3.1600000000000003E-2</v>
      </c>
      <c r="I28" t="s">
        <v>444</v>
      </c>
      <c r="J28" s="186" t="s">
        <v>280</v>
      </c>
      <c r="K28" s="186"/>
      <c r="L28" s="186"/>
      <c r="M28" s="186"/>
      <c r="N28" s="186"/>
      <c r="O28" s="186"/>
      <c r="P28" s="186"/>
      <c r="Q28" s="186"/>
      <c r="R28" s="82" t="s">
        <v>281</v>
      </c>
      <c r="S28" s="84">
        <f ca="1">IF(BDI.Opcao&lt;&gt;"Desonerado",0,IF(AND($J17&lt;&gt;$A$144,COUNTA(OFFSET(S20,1,0,6))&gt;0),4.5%,0%))</f>
        <v>4.4999999999999998E-2</v>
      </c>
      <c r="U28" s="187" t="s">
        <v>437</v>
      </c>
      <c r="V28" s="187"/>
      <c r="W28" s="187"/>
      <c r="X28" s="85">
        <v>0</v>
      </c>
      <c r="Y28" s="85">
        <v>4.4999999999999998E-2</v>
      </c>
      <c r="Z28" s="85">
        <v>4.4999999999999998E-2</v>
      </c>
    </row>
    <row r="29" spans="1:26" ht="28.5" x14ac:dyDescent="0.25">
      <c r="A29" s="78" t="str">
        <f>A28</f>
        <v>Obras Portuárias, Marítimas e Fluviais</v>
      </c>
      <c r="B29" s="103" t="s">
        <v>274</v>
      </c>
      <c r="C29" s="78" t="str">
        <f t="shared" si="0"/>
        <v>Obras Portuárias, Marítimas e Fluviais-DF</v>
      </c>
      <c r="D29" s="78"/>
      <c r="E29" s="104">
        <v>9.3999999999999986E-3</v>
      </c>
      <c r="F29" s="104">
        <v>1.0200000000000001E-2</v>
      </c>
      <c r="G29" s="104">
        <v>1.3300000000000001E-2</v>
      </c>
      <c r="I29" t="s">
        <v>444</v>
      </c>
      <c r="J29" s="186" t="s">
        <v>282</v>
      </c>
      <c r="K29" s="186"/>
      <c r="L29" s="186"/>
      <c r="M29" s="186"/>
      <c r="N29" s="186"/>
      <c r="O29" s="186"/>
      <c r="P29" s="186"/>
      <c r="Q29" s="186"/>
      <c r="R29" s="86" t="s">
        <v>283</v>
      </c>
      <c r="S29" s="84">
        <f ca="1">IF($J17=$A$144,0,ROUND((((1+S21+S22+S23)*(1+S24)*(1+S25)/(1-(S26+S27)))-1),4))</f>
        <v>0.21149999999999999</v>
      </c>
      <c r="U29" s="184" t="str">
        <f ca="1">IF(OR($J$17=$A$145,$J$17=$A$144,AND(S29&gt;=X29,S29&lt;=Z29)),"OK","FORA DO INTERVALO")</f>
        <v>OK</v>
      </c>
      <c r="V29" s="184"/>
      <c r="W29" s="184"/>
      <c r="X29" s="84">
        <f>IF($J17=$A$144,0,VLOOKUP(CONCATENATE($J17,"-",$R29),$C$2:$G$135,3,FALSE))</f>
        <v>0.2034</v>
      </c>
      <c r="Y29" s="84">
        <f>IF($J17=$A$144,0,VLOOKUP(CONCATENATE($J17,"-",$R29),$C$2:$G$135,4,FALSE))</f>
        <v>0.22120000000000001</v>
      </c>
      <c r="Z29" s="84">
        <f>IF($J17=$A$144,0,VLOOKUP(CONCATENATE($J17,"-",$R29),$C$2:$G$135,5,FALSE))</f>
        <v>0.25</v>
      </c>
    </row>
    <row r="30" spans="1:26" ht="28.5" x14ac:dyDescent="0.25">
      <c r="A30" s="78" t="str">
        <f>A29</f>
        <v>Obras Portuárias, Marítimas e Fluviais</v>
      </c>
      <c r="B30" s="103" t="s">
        <v>275</v>
      </c>
      <c r="C30" s="78" t="str">
        <f t="shared" si="0"/>
        <v>Obras Portuárias, Marítimas e Fluviais-L</v>
      </c>
      <c r="D30" s="78"/>
      <c r="E30" s="104">
        <v>7.1399999999999991E-2</v>
      </c>
      <c r="F30" s="104">
        <v>8.4000000000000005E-2</v>
      </c>
      <c r="G30" s="104">
        <v>0.1043</v>
      </c>
      <c r="I30" t="s">
        <v>444</v>
      </c>
      <c r="J30" s="188" t="s">
        <v>284</v>
      </c>
      <c r="K30" s="188"/>
      <c r="L30" s="188"/>
      <c r="M30" s="188"/>
      <c r="N30" s="188"/>
      <c r="O30" s="188"/>
      <c r="P30" s="188"/>
      <c r="Q30" s="188"/>
      <c r="R30" s="87" t="s">
        <v>285</v>
      </c>
      <c r="S30" s="88">
        <f ca="1">IF($J17=$A$144,0,ROUND((((1+S21+S22+S23)*(1+S24)*(1+S25)/(1-(S26+S27+S28)))-1),4))</f>
        <v>0.27350000000000002</v>
      </c>
    </row>
    <row r="31" spans="1:26" x14ac:dyDescent="0.25">
      <c r="A31" s="78" t="str">
        <f>A30</f>
        <v>Obras Portuárias, Marítimas e Fluviais</v>
      </c>
      <c r="B31" s="105" t="s">
        <v>283</v>
      </c>
      <c r="C31" s="78" t="str">
        <f t="shared" si="0"/>
        <v>Obras Portuárias, Marítimas e Fluviais-BDI PAD</v>
      </c>
      <c r="D31" s="78"/>
      <c r="E31" s="104">
        <v>0.22800000000000001</v>
      </c>
      <c r="F31" s="104">
        <v>0.27479999999999999</v>
      </c>
      <c r="G31" s="104">
        <v>0.3095</v>
      </c>
      <c r="I31" t="s">
        <v>444</v>
      </c>
      <c r="J31" s="78"/>
      <c r="K31" s="78"/>
      <c r="L31" s="78"/>
      <c r="M31" s="78"/>
      <c r="N31" s="78"/>
      <c r="O31" s="78"/>
      <c r="P31" s="78"/>
      <c r="Q31" s="78"/>
      <c r="R31" s="78"/>
      <c r="S31" s="78"/>
    </row>
    <row r="32" spans="1:26" ht="2.25" customHeight="1" x14ac:dyDescent="0.25">
      <c r="A32" s="78" t="s">
        <v>448</v>
      </c>
      <c r="B32" s="103" t="s">
        <v>271</v>
      </c>
      <c r="C32" s="78" t="str">
        <f t="shared" si="0"/>
        <v>Fornecimento de Materiais e Equipamentos (aquisição indireta - em conjunto com licitação de obras)-AC</v>
      </c>
      <c r="D32" s="78"/>
      <c r="E32" s="104">
        <v>1.4999999999999999E-2</v>
      </c>
      <c r="F32" s="104">
        <v>3.4500000000000003E-2</v>
      </c>
      <c r="G32" s="104">
        <v>4.4900000000000002E-2</v>
      </c>
      <c r="I32" t="s">
        <v>444</v>
      </c>
      <c r="J32" s="89" t="str">
        <f ca="1">IF(U29&lt;&gt;"ok","X","")</f>
        <v/>
      </c>
      <c r="K32" s="189" t="str">
        <f ca="1">IF(U29&lt;&gt;"ok","Anexo: Relatório Técnico Circunstanciado justificando a adoção do percentual de cada parcela do BDI.","")</f>
        <v/>
      </c>
      <c r="L32" s="189"/>
      <c r="M32" s="189"/>
      <c r="N32" s="189"/>
      <c r="O32" s="189"/>
      <c r="P32" s="189"/>
      <c r="Q32" s="189"/>
      <c r="R32" s="189"/>
      <c r="S32" s="189"/>
    </row>
    <row r="33" spans="1:19" ht="3.75" customHeight="1" x14ac:dyDescent="0.25">
      <c r="A33" s="78" t="str">
        <f>A32</f>
        <v>Fornecimento de Materiais e Equipamentos (aquisição indireta - em conjunto com licitação de obras)</v>
      </c>
      <c r="B33" s="103" t="s">
        <v>272</v>
      </c>
      <c r="C33" s="78" t="str">
        <f t="shared" si="0"/>
        <v>Fornecimento de Materiais e Equipamentos (aquisição indireta - em conjunto com licitação de obras)-SG</v>
      </c>
      <c r="D33" s="78"/>
      <c r="E33" s="104">
        <v>3.0000000000000001E-3</v>
      </c>
      <c r="F33" s="104">
        <v>4.7999999999999996E-3</v>
      </c>
      <c r="G33" s="104">
        <v>8.199999999999999E-3</v>
      </c>
      <c r="I33" t="s">
        <v>444</v>
      </c>
      <c r="J33" s="78"/>
      <c r="K33" s="78"/>
      <c r="L33" s="78"/>
      <c r="M33" s="78"/>
      <c r="N33" s="78"/>
      <c r="O33" s="78"/>
      <c r="P33" s="78"/>
      <c r="Q33" s="78"/>
      <c r="R33" s="78"/>
      <c r="S33" s="78"/>
    </row>
    <row r="34" spans="1:19" x14ac:dyDescent="0.25">
      <c r="A34" s="78" t="str">
        <f>A33</f>
        <v>Fornecimento de Materiais e Equipamentos (aquisição indireta - em conjunto com licitação de obras)</v>
      </c>
      <c r="B34" s="103" t="s">
        <v>273</v>
      </c>
      <c r="C34" s="78" t="str">
        <f t="shared" si="0"/>
        <v>Fornecimento de Materiais e Equipamentos (aquisição indireta - em conjunto com licitação de obras)-R</v>
      </c>
      <c r="D34" s="78"/>
      <c r="E34" s="104">
        <v>5.6000000000000008E-3</v>
      </c>
      <c r="F34" s="104">
        <v>8.5000000000000006E-3</v>
      </c>
      <c r="G34" s="104">
        <v>8.8999999999999999E-3</v>
      </c>
      <c r="I34" t="s">
        <v>444</v>
      </c>
      <c r="J34" s="197" t="s">
        <v>286</v>
      </c>
      <c r="K34" s="197"/>
      <c r="L34" s="197"/>
      <c r="M34" s="197"/>
      <c r="N34" s="197"/>
      <c r="O34" s="197"/>
      <c r="P34" s="197"/>
      <c r="Q34" s="197"/>
      <c r="R34" s="197"/>
      <c r="S34" s="197"/>
    </row>
    <row r="35" spans="1:19" ht="15.75" x14ac:dyDescent="0.25">
      <c r="A35" s="78" t="str">
        <f>A34</f>
        <v>Fornecimento de Materiais e Equipamentos (aquisição indireta - em conjunto com licitação de obras)</v>
      </c>
      <c r="B35" s="103" t="s">
        <v>274</v>
      </c>
      <c r="C35" s="78" t="str">
        <f t="shared" si="0"/>
        <v>Fornecimento de Materiais e Equipamentos (aquisição indireta - em conjunto com licitação de obras)-DF</v>
      </c>
      <c r="D35" s="78"/>
      <c r="E35" s="104">
        <v>8.5000000000000006E-3</v>
      </c>
      <c r="F35" s="104">
        <v>8.5000000000000006E-3</v>
      </c>
      <c r="G35" s="104">
        <v>1.11E-2</v>
      </c>
      <c r="I35" t="s">
        <v>444</v>
      </c>
      <c r="J35" s="90"/>
      <c r="K35" s="90"/>
      <c r="L35" s="90"/>
      <c r="M35" s="198" t="s">
        <v>287</v>
      </c>
      <c r="N35" s="199" t="str">
        <f>IF($J17=$A$145,"(1+K1+K2)*(1+K3)","(1+AC + S + R + G)*(1 + DF)*(1+L)")</f>
        <v>(1+AC + S + R + G)*(1 + DF)*(1+L)</v>
      </c>
      <c r="O35" s="199"/>
      <c r="P35" s="199"/>
      <c r="Q35" s="200" t="s">
        <v>288</v>
      </c>
      <c r="R35" s="90"/>
      <c r="S35" s="90"/>
    </row>
    <row r="36" spans="1:19" ht="15.75" x14ac:dyDescent="0.25">
      <c r="A36" s="78" t="str">
        <f>A35</f>
        <v>Fornecimento de Materiais e Equipamentos (aquisição indireta - em conjunto com licitação de obras)</v>
      </c>
      <c r="B36" s="103" t="s">
        <v>275</v>
      </c>
      <c r="C36" s="78" t="str">
        <f t="shared" si="0"/>
        <v>Fornecimento de Materiais e Equipamentos (aquisição indireta - em conjunto com licitação de obras)-L</v>
      </c>
      <c r="D36" s="78"/>
      <c r="E36" s="104">
        <v>3.5000000000000003E-2</v>
      </c>
      <c r="F36" s="104">
        <v>5.1100000000000007E-2</v>
      </c>
      <c r="G36" s="104">
        <v>6.2199999999999998E-2</v>
      </c>
      <c r="I36" t="s">
        <v>444</v>
      </c>
      <c r="J36" s="90"/>
      <c r="K36" s="90"/>
      <c r="L36" s="90"/>
      <c r="M36" s="198"/>
      <c r="N36" s="201" t="s">
        <v>289</v>
      </c>
      <c r="O36" s="201"/>
      <c r="P36" s="201"/>
      <c r="Q36" s="200"/>
      <c r="R36" s="90"/>
      <c r="S36" s="90"/>
    </row>
    <row r="37" spans="1:19" x14ac:dyDescent="0.25">
      <c r="A37" s="78" t="str">
        <f>A36</f>
        <v>Fornecimento de Materiais e Equipamentos (aquisição indireta - em conjunto com licitação de obras)</v>
      </c>
      <c r="B37" s="105" t="s">
        <v>283</v>
      </c>
      <c r="C37" s="78" t="str">
        <f t="shared" si="0"/>
        <v>Fornecimento de Materiais e Equipamentos (aquisição indireta - em conjunto com licitação de obras)-BDI PAD</v>
      </c>
      <c r="D37" s="78"/>
      <c r="E37" s="104">
        <v>0.111</v>
      </c>
      <c r="F37" s="104">
        <v>0.14019999999999999</v>
      </c>
      <c r="G37" s="104">
        <v>0.16800000000000001</v>
      </c>
      <c r="I37" t="s">
        <v>444</v>
      </c>
      <c r="J37" s="91"/>
      <c r="K37" s="91"/>
      <c r="L37" s="91"/>
      <c r="M37" s="91"/>
      <c r="N37" s="91"/>
      <c r="O37" s="91"/>
      <c r="P37" s="91"/>
      <c r="Q37" s="91"/>
      <c r="R37" s="91"/>
      <c r="S37" s="91"/>
    </row>
    <row r="38" spans="1:19" ht="47.25" customHeight="1" x14ac:dyDescent="0.25">
      <c r="A38" s="78" t="s">
        <v>449</v>
      </c>
      <c r="B38" s="105" t="s">
        <v>271</v>
      </c>
      <c r="C38" s="78" t="str">
        <f t="shared" si="0"/>
        <v>Fornecimento de Materiais e Equipamentos (aquisição direta)-AC</v>
      </c>
      <c r="D38" s="78"/>
      <c r="E38" s="104" t="s">
        <v>437</v>
      </c>
      <c r="F38" s="104" t="s">
        <v>437</v>
      </c>
      <c r="G38" s="104" t="s">
        <v>437</v>
      </c>
      <c r="I38" t="s">
        <v>444</v>
      </c>
      <c r="J38" s="191" t="str">
        <f>CONCATENATE("Declaro para os devidos fins que, conforme legislação tributária municipal, a base de cálculo deste tipo de obra corresponde à ",$R$10*100,"%, com a respectiva alíquota de ",$R$11*100,"%.")</f>
        <v>Declaro para os devidos fins que, conforme legislação tributária municipal, a base de cálculo deste tipo de obra corresponde à 5%, com a respectiva alíquota de 80%.</v>
      </c>
      <c r="K38" s="191"/>
      <c r="L38" s="191"/>
      <c r="M38" s="191"/>
      <c r="N38" s="191"/>
      <c r="O38" s="191"/>
      <c r="P38" s="191"/>
      <c r="Q38" s="191"/>
      <c r="R38" s="191"/>
      <c r="S38" s="191"/>
    </row>
    <row r="39" spans="1:19" x14ac:dyDescent="0.25">
      <c r="A39" s="78" t="s">
        <v>449</v>
      </c>
      <c r="B39" s="105" t="s">
        <v>272</v>
      </c>
      <c r="C39" s="78" t="str">
        <f t="shared" si="0"/>
        <v>Fornecimento de Materiais e Equipamentos (aquisição direta)-SG</v>
      </c>
      <c r="D39" s="78"/>
      <c r="E39" s="104" t="s">
        <v>437</v>
      </c>
      <c r="F39" s="104" t="s">
        <v>437</v>
      </c>
      <c r="G39" s="104" t="s">
        <v>437</v>
      </c>
      <c r="I39" t="s">
        <v>444</v>
      </c>
      <c r="J39" s="78"/>
      <c r="K39" s="78"/>
      <c r="L39" s="78"/>
      <c r="M39" s="78"/>
      <c r="N39" s="78"/>
      <c r="O39" s="78"/>
      <c r="P39" s="78"/>
      <c r="Q39" s="78"/>
      <c r="R39" s="78"/>
      <c r="S39" s="78"/>
    </row>
    <row r="40" spans="1:19" ht="58.5" customHeight="1" x14ac:dyDescent="0.25">
      <c r="A40" s="78" t="s">
        <v>449</v>
      </c>
      <c r="B40" s="105" t="s">
        <v>273</v>
      </c>
      <c r="C40" s="78" t="str">
        <f t="shared" si="0"/>
        <v>Fornecimento de Materiais e Equipamentos (aquisição direta)-R</v>
      </c>
      <c r="D40" s="78"/>
      <c r="E40" s="104" t="s">
        <v>437</v>
      </c>
      <c r="F40" s="104" t="s">
        <v>437</v>
      </c>
      <c r="G40" s="104" t="s">
        <v>437</v>
      </c>
      <c r="I40" t="s">
        <v>444</v>
      </c>
      <c r="J40" s="191" t="e">
        <f ca="1">CONCATENATE("Declaro para os devidos fins que o regime de Contribuição Previdenciária sobre a Receita Bruta adotado para elaboração do orçamento foi ",IF(DESONERACAO="Sim","COM","SEM")," Desoneração, e que esta é a alternativa mais adequada para a Administração Pública.")</f>
        <v>#VALUE!</v>
      </c>
      <c r="K40" s="191"/>
      <c r="L40" s="191"/>
      <c r="M40" s="191"/>
      <c r="N40" s="191"/>
      <c r="O40" s="191"/>
      <c r="P40" s="191"/>
      <c r="Q40" s="191"/>
      <c r="R40" s="191"/>
      <c r="S40" s="191"/>
    </row>
    <row r="41" spans="1:19" x14ac:dyDescent="0.25">
      <c r="A41" s="78" t="s">
        <v>449</v>
      </c>
      <c r="B41" s="105" t="s">
        <v>274</v>
      </c>
      <c r="C41" s="78" t="str">
        <f t="shared" si="0"/>
        <v>Fornecimento de Materiais e Equipamentos (aquisição direta)-DF</v>
      </c>
      <c r="D41" s="78"/>
      <c r="E41" s="104" t="s">
        <v>437</v>
      </c>
      <c r="F41" s="104" t="s">
        <v>437</v>
      </c>
      <c r="G41" s="104" t="s">
        <v>437</v>
      </c>
      <c r="I41" t="s">
        <v>444</v>
      </c>
      <c r="J41" s="78"/>
      <c r="K41" s="78"/>
      <c r="L41" s="78"/>
      <c r="M41" s="78"/>
      <c r="N41" s="78"/>
      <c r="O41" s="78"/>
      <c r="P41" s="78"/>
      <c r="Q41" s="78"/>
      <c r="R41" s="78"/>
      <c r="S41" s="78"/>
    </row>
    <row r="42" spans="1:19" x14ac:dyDescent="0.25">
      <c r="A42" s="78" t="s">
        <v>449</v>
      </c>
      <c r="B42" s="105" t="s">
        <v>275</v>
      </c>
      <c r="C42" s="78" t="str">
        <f t="shared" si="0"/>
        <v>Fornecimento de Materiais e Equipamentos (aquisição direta)-L</v>
      </c>
      <c r="D42" s="78"/>
      <c r="E42" s="104" t="s">
        <v>437</v>
      </c>
      <c r="F42" s="104" t="s">
        <v>437</v>
      </c>
      <c r="G42" s="104" t="s">
        <v>437</v>
      </c>
      <c r="I42" t="s">
        <v>444</v>
      </c>
      <c r="J42" s="78" t="s">
        <v>290</v>
      </c>
      <c r="K42" s="78"/>
      <c r="L42" s="78"/>
      <c r="M42" s="78"/>
      <c r="N42" s="78"/>
      <c r="O42" s="78"/>
      <c r="P42" s="78"/>
      <c r="Q42" s="78"/>
      <c r="R42" s="78"/>
      <c r="S42" s="78"/>
    </row>
    <row r="43" spans="1:19" x14ac:dyDescent="0.25">
      <c r="A43" s="78" t="s">
        <v>449</v>
      </c>
      <c r="B43" s="105" t="s">
        <v>283</v>
      </c>
      <c r="C43" s="78" t="str">
        <f t="shared" si="0"/>
        <v>Fornecimento de Materiais e Equipamentos (aquisição direta)-BDI PAD</v>
      </c>
      <c r="D43" s="78"/>
      <c r="E43" s="104" t="s">
        <v>437</v>
      </c>
      <c r="F43" s="104" t="s">
        <v>437</v>
      </c>
      <c r="G43" s="104" t="s">
        <v>437</v>
      </c>
      <c r="I43" t="s">
        <v>444</v>
      </c>
      <c r="J43" s="192"/>
      <c r="K43" s="192"/>
      <c r="L43" s="192"/>
      <c r="M43" s="192"/>
      <c r="N43" s="192"/>
      <c r="O43" s="192"/>
      <c r="P43" s="192"/>
      <c r="Q43" s="192"/>
      <c r="R43" s="192"/>
      <c r="S43" s="192"/>
    </row>
    <row r="44" spans="1:19" x14ac:dyDescent="0.25">
      <c r="A44" s="78" t="s">
        <v>450</v>
      </c>
      <c r="B44" s="103" t="s">
        <v>451</v>
      </c>
      <c r="C44" s="78" t="str">
        <f t="shared" si="0"/>
        <v>Estudos e Projetos, Planos e Gerenciamento e outros correlatos-K1</v>
      </c>
      <c r="D44" s="78"/>
      <c r="E44" s="104" t="s">
        <v>437</v>
      </c>
      <c r="F44" s="104" t="s">
        <v>437</v>
      </c>
      <c r="G44" s="104" t="s">
        <v>437</v>
      </c>
      <c r="I44" t="s">
        <v>444</v>
      </c>
      <c r="J44" s="78"/>
      <c r="K44" s="78"/>
      <c r="L44" s="78"/>
      <c r="M44" s="78"/>
      <c r="N44" s="78"/>
      <c r="O44" s="78"/>
      <c r="P44" s="78"/>
      <c r="Q44" s="78"/>
      <c r="R44" s="78"/>
      <c r="S44" s="78"/>
    </row>
    <row r="45" spans="1:19" x14ac:dyDescent="0.25">
      <c r="A45" s="78" t="str">
        <f>A44</f>
        <v>Estudos e Projetos, Planos e Gerenciamento e outros correlatos</v>
      </c>
      <c r="B45" s="103" t="s">
        <v>452</v>
      </c>
      <c r="C45" s="78" t="str">
        <f t="shared" si="0"/>
        <v>Estudos e Projetos, Planos e Gerenciamento e outros correlatos-K2</v>
      </c>
      <c r="D45" s="78"/>
      <c r="E45" s="104" t="s">
        <v>437</v>
      </c>
      <c r="F45" s="104">
        <v>0.2</v>
      </c>
      <c r="G45" s="104" t="s">
        <v>437</v>
      </c>
      <c r="I45" t="s">
        <v>444</v>
      </c>
      <c r="J45" s="193"/>
      <c r="K45" s="193"/>
      <c r="L45" s="193"/>
      <c r="M45" s="193"/>
      <c r="N45" s="78"/>
      <c r="O45" s="78"/>
      <c r="P45" s="194"/>
      <c r="Q45" s="194"/>
      <c r="R45" s="194"/>
      <c r="S45" s="194"/>
    </row>
    <row r="46" spans="1:19" x14ac:dyDescent="0.25">
      <c r="A46" s="78" t="str">
        <f>A45</f>
        <v>Estudos e Projetos, Planos e Gerenciamento e outros correlatos</v>
      </c>
      <c r="B46" s="103"/>
      <c r="C46" s="78" t="str">
        <f t="shared" si="0"/>
        <v>Estudos e Projetos, Planos e Gerenciamento e outros correlatos-</v>
      </c>
      <c r="D46" s="78"/>
      <c r="E46" s="104" t="s">
        <v>437</v>
      </c>
      <c r="F46" s="104" t="s">
        <v>437</v>
      </c>
      <c r="G46" s="104" t="s">
        <v>437</v>
      </c>
      <c r="I46" t="s">
        <v>444</v>
      </c>
      <c r="J46" s="195" t="s">
        <v>291</v>
      </c>
      <c r="K46" s="195"/>
      <c r="L46" s="195"/>
      <c r="M46" s="195"/>
      <c r="N46" s="78"/>
      <c r="O46" s="92"/>
      <c r="P46" s="93" t="s">
        <v>292</v>
      </c>
      <c r="Q46" s="94"/>
      <c r="R46" s="94"/>
      <c r="S46" s="94"/>
    </row>
    <row r="47" spans="1:19" x14ac:dyDescent="0.25">
      <c r="A47" s="78" t="str">
        <f>A46</f>
        <v>Estudos e Projetos, Planos e Gerenciamento e outros correlatos</v>
      </c>
      <c r="B47" s="103"/>
      <c r="C47" s="78" t="str">
        <f t="shared" si="0"/>
        <v>Estudos e Projetos, Planos e Gerenciamento e outros correlatos-</v>
      </c>
      <c r="D47" s="78"/>
      <c r="E47" s="104" t="s">
        <v>437</v>
      </c>
      <c r="F47" s="104" t="s">
        <v>437</v>
      </c>
      <c r="G47" s="104" t="s">
        <v>437</v>
      </c>
      <c r="I47" t="s">
        <v>444</v>
      </c>
      <c r="J47" s="78"/>
      <c r="K47" s="78"/>
      <c r="L47" s="78"/>
      <c r="M47" s="78"/>
      <c r="N47" s="78"/>
      <c r="O47" s="78"/>
      <c r="P47" s="78"/>
      <c r="Q47" s="78"/>
      <c r="R47" s="78"/>
      <c r="S47" s="78"/>
    </row>
    <row r="48" spans="1:19" hidden="1" x14ac:dyDescent="0.25">
      <c r="A48" s="78" t="str">
        <f>A47</f>
        <v>Estudos e Projetos, Planos e Gerenciamento e outros correlatos</v>
      </c>
      <c r="B48" s="103" t="s">
        <v>453</v>
      </c>
      <c r="C48" s="78" t="str">
        <f t="shared" si="0"/>
        <v>Estudos e Projetos, Planos e Gerenciamento e outros correlatos-K3</v>
      </c>
      <c r="D48" s="78"/>
      <c r="E48" s="104" t="s">
        <v>437</v>
      </c>
      <c r="F48" s="104">
        <v>0.12</v>
      </c>
      <c r="G48" s="104" t="s">
        <v>437</v>
      </c>
      <c r="I48" t="s">
        <v>444</v>
      </c>
      <c r="J48" s="196"/>
      <c r="K48" s="196"/>
      <c r="L48" s="196"/>
      <c r="M48" s="196"/>
      <c r="N48" s="95"/>
      <c r="O48" s="78"/>
      <c r="P48" s="78"/>
      <c r="Q48" s="78"/>
      <c r="R48" s="78"/>
      <c r="S48" s="78"/>
    </row>
    <row r="49" spans="1:19" hidden="1" x14ac:dyDescent="0.25">
      <c r="A49" s="78" t="str">
        <f>A48</f>
        <v>Estudos e Projetos, Planos e Gerenciamento e outros correlatos</v>
      </c>
      <c r="B49" s="105" t="s">
        <v>283</v>
      </c>
      <c r="C49" s="78" t="str">
        <f t="shared" si="0"/>
        <v>Estudos e Projetos, Planos e Gerenciamento e outros correlatos-BDI PAD</v>
      </c>
      <c r="D49" s="78"/>
      <c r="E49" s="104" t="s">
        <v>437</v>
      </c>
      <c r="F49" s="104" t="s">
        <v>437</v>
      </c>
      <c r="G49" s="104" t="s">
        <v>437</v>
      </c>
      <c r="I49" t="s">
        <v>444</v>
      </c>
      <c r="J49" s="190" t="s">
        <v>293</v>
      </c>
      <c r="K49" s="190"/>
      <c r="L49" s="190"/>
      <c r="M49" s="190"/>
      <c r="N49" s="96"/>
      <c r="O49" s="78"/>
      <c r="P49" s="78"/>
      <c r="Q49" s="78"/>
      <c r="R49" s="78"/>
      <c r="S49" s="78"/>
    </row>
    <row r="50" spans="1:19" hidden="1" x14ac:dyDescent="0.25">
      <c r="A50" s="78"/>
      <c r="B50" s="105"/>
      <c r="C50" s="78"/>
      <c r="D50" s="78"/>
      <c r="E50" s="104"/>
      <c r="F50" s="104"/>
      <c r="G50" s="104"/>
      <c r="I50" t="s">
        <v>444</v>
      </c>
      <c r="J50" s="97" t="s">
        <v>294</v>
      </c>
      <c r="K50" s="98" t="str">
        <f t="array" ref="K50:K52">Import.RespOrçamento</f>
        <v>Calos Eduardo Mazzetto</v>
      </c>
      <c r="L50" s="99"/>
      <c r="M50" s="99"/>
      <c r="N50" s="100"/>
      <c r="O50" s="78"/>
      <c r="P50" s="78"/>
      <c r="Q50" s="78"/>
      <c r="R50" s="78"/>
      <c r="S50" s="78"/>
    </row>
    <row r="51" spans="1:19" hidden="1" x14ac:dyDescent="0.25">
      <c r="I51" t="s">
        <v>444</v>
      </c>
      <c r="J51" s="97" t="s">
        <v>295</v>
      </c>
      <c r="K51" s="98" t="str">
        <v>5060363666</v>
      </c>
      <c r="L51" s="99"/>
      <c r="M51" s="99"/>
      <c r="N51" s="100"/>
      <c r="O51" s="78"/>
      <c r="P51" s="78"/>
      <c r="Q51" s="78"/>
      <c r="R51" s="78"/>
      <c r="S51" s="78"/>
    </row>
    <row r="52" spans="1:19" hidden="1" x14ac:dyDescent="0.25">
      <c r="I52" t="s">
        <v>444</v>
      </c>
      <c r="J52" s="97" t="s">
        <v>296</v>
      </c>
      <c r="K52" s="98" t="str">
        <v>28027230191560992</v>
      </c>
      <c r="L52" s="99"/>
      <c r="M52" s="99"/>
      <c r="N52" s="100"/>
      <c r="O52" s="78"/>
      <c r="P52" s="78"/>
      <c r="Q52" s="78"/>
      <c r="R52" s="78"/>
      <c r="S52" s="78"/>
    </row>
    <row r="53" spans="1:19" hidden="1" x14ac:dyDescent="0.25">
      <c r="I53" t="s">
        <v>444</v>
      </c>
      <c r="J53" s="97"/>
      <c r="K53" s="101"/>
      <c r="L53" s="99"/>
      <c r="M53" s="99"/>
      <c r="N53" s="100"/>
      <c r="O53" s="78"/>
      <c r="P53" s="78"/>
      <c r="Q53" s="78"/>
      <c r="R53" s="78"/>
      <c r="S53" s="78"/>
    </row>
    <row r="54" spans="1:19" x14ac:dyDescent="0.25">
      <c r="J54" s="71"/>
      <c r="K54" s="71"/>
      <c r="L54" s="71"/>
      <c r="M54" s="71"/>
    </row>
    <row r="55" spans="1:19" x14ac:dyDescent="0.25">
      <c r="J55" s="72"/>
      <c r="K55" s="72"/>
      <c r="L55" s="72"/>
      <c r="M55" s="72"/>
    </row>
    <row r="56" spans="1:19" x14ac:dyDescent="0.25">
      <c r="J56" t="s">
        <v>455</v>
      </c>
      <c r="K56" s="120"/>
      <c r="L56" s="120"/>
      <c r="M56" s="120"/>
      <c r="N56" s="120"/>
    </row>
    <row r="57" spans="1:19" x14ac:dyDescent="0.25">
      <c r="J57" t="s">
        <v>454</v>
      </c>
      <c r="K57" s="120"/>
      <c r="L57" s="120"/>
      <c r="M57" s="120"/>
      <c r="N57" s="120"/>
    </row>
  </sheetData>
  <sheetProtection password="CC3D" sheet="1" objects="1" scenarios="1"/>
  <mergeCells count="58">
    <mergeCell ref="J38:S38"/>
    <mergeCell ref="J28:Q28"/>
    <mergeCell ref="J25:Q25"/>
    <mergeCell ref="J34:S34"/>
    <mergeCell ref="M35:M36"/>
    <mergeCell ref="N35:P35"/>
    <mergeCell ref="Q35:Q36"/>
    <mergeCell ref="N36:P36"/>
    <mergeCell ref="J49:M49"/>
    <mergeCell ref="J40:S40"/>
    <mergeCell ref="J43:S43"/>
    <mergeCell ref="J45:M45"/>
    <mergeCell ref="P45:S45"/>
    <mergeCell ref="J46:M46"/>
    <mergeCell ref="J48:M48"/>
    <mergeCell ref="U28:W28"/>
    <mergeCell ref="J29:Q29"/>
    <mergeCell ref="U29:W29"/>
    <mergeCell ref="J30:Q30"/>
    <mergeCell ref="K32:S32"/>
    <mergeCell ref="U25:W25"/>
    <mergeCell ref="J26:Q26"/>
    <mergeCell ref="U26:W26"/>
    <mergeCell ref="J27:Q27"/>
    <mergeCell ref="U27:W27"/>
    <mergeCell ref="J22:Q22"/>
    <mergeCell ref="U22:W22"/>
    <mergeCell ref="J23:Q23"/>
    <mergeCell ref="U23:W23"/>
    <mergeCell ref="J24:Q24"/>
    <mergeCell ref="U24:W24"/>
    <mergeCell ref="U19:W20"/>
    <mergeCell ref="X19:X20"/>
    <mergeCell ref="Y19:Y20"/>
    <mergeCell ref="Z19:Z20"/>
    <mergeCell ref="J21:Q21"/>
    <mergeCell ref="U21:W21"/>
    <mergeCell ref="J14:S14"/>
    <mergeCell ref="J16:S16"/>
    <mergeCell ref="J17:S17"/>
    <mergeCell ref="J19:Q20"/>
    <mergeCell ref="R19:R20"/>
    <mergeCell ref="S19:S20"/>
    <mergeCell ref="I6:I10"/>
    <mergeCell ref="J7:S7"/>
    <mergeCell ref="J8:S8"/>
    <mergeCell ref="J10:Q10"/>
    <mergeCell ref="R10:S10"/>
    <mergeCell ref="J11:Q11"/>
    <mergeCell ref="R11:S11"/>
    <mergeCell ref="R1:S1"/>
    <mergeCell ref="R2:S2"/>
    <mergeCell ref="J4:K4"/>
    <mergeCell ref="L4:M4"/>
    <mergeCell ref="N4:S4"/>
    <mergeCell ref="J5:K5"/>
    <mergeCell ref="L5:M5"/>
    <mergeCell ref="N5:S5"/>
  </mergeCells>
  <conditionalFormatting sqref="J30:S30">
    <cfRule type="expression" dxfId="85" priority="1" stopIfTrue="1">
      <formula>DESONERACAO="não"</formula>
    </cfRule>
  </conditionalFormatting>
  <conditionalFormatting sqref="U29:W29">
    <cfRule type="expression" dxfId="84" priority="2" stopIfTrue="1">
      <formula>AND(U29&lt;&gt;"OK",U29&lt;&gt;"-",U29&lt;&gt;"")</formula>
    </cfRule>
    <cfRule type="cellIs" dxfId="83" priority="3" stopIfTrue="1" operator="equal">
      <formula>"OK"</formula>
    </cfRule>
  </conditionalFormatting>
  <conditionalFormatting sqref="S29">
    <cfRule type="expression" dxfId="82" priority="4" stopIfTrue="1">
      <formula>DESONERACAO="não"</formula>
    </cfRule>
  </conditionalFormatting>
  <dataValidations count="6">
    <dataValidation type="list" allowBlank="1" showErrorMessage="1" sqref="J17:S17">
      <formula1>BDI.TipoObra</formula1>
      <formula2>0</formula2>
    </dataValidation>
    <dataValidation type="decimal" allowBlank="1" showInputMessage="1" showErrorMessage="1" errorTitle="Valor não permitido" error="Digite um percentual entre 0% e 100%." promptTitle="Valores admissíveis:" prompt="Insira valores entre 0 e 100%." sqref="R10:S10">
      <formula1>0</formula1>
      <formula2>1</formula2>
    </dataValidation>
    <dataValidation type="decimal" operator="greaterThanOrEqual" allowBlank="1" showInputMessage="1" showErrorMessage="1" errorTitle="Valor não permitido" error="Digite um percentual entre 0% e 100%." promptTitle="Valores comuns:" prompt="Normalmente entre 2 e 5%." sqref="R11:S11">
      <formula1>0</formula1>
      <formula2>0</formula2>
    </dataValidation>
    <dataValidation operator="greaterThanOrEqual" allowBlank="1" showErrorMessage="1" errorTitle="Erro de valores" error="Digite um valor igual a 0% ou 2%." sqref="S28">
      <formula1>0</formula1>
      <formula2>0</formula2>
    </dataValidation>
    <dataValidation type="decimal" allowBlank="1" showErrorMessage="1" errorTitle="Erro de valores" error="Digite um valor maior do que 0." sqref="S27">
      <formula1>0</formula1>
      <formula2>1</formula2>
    </dataValidation>
    <dataValidation type="decimal" allowBlank="1" showErrorMessage="1" errorTitle="Erro de valores" error="Digite um valor entre 0% e 100%" sqref="S21:S26">
      <formula1>0</formula1>
      <formula2>1</formula2>
    </dataValidation>
  </dataValidations>
  <pageMargins left="0.511811024" right="0.511811024" top="0.78740157499999996" bottom="0.78740157499999996" header="0.31496062000000002" footer="0.31496062000000002"/>
  <pageSetup paperSize="9" scale="86" orientation="portrait" r:id="rId1"/>
  <colBreaks count="1" manualBreakCount="1">
    <brk id="9" max="56" man="1"/>
  </colBreaks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71"/>
  <sheetViews>
    <sheetView view="pageBreakPreview" topLeftCell="A151" zoomScale="110" zoomScaleNormal="100" zoomScaleSheetLayoutView="110" workbookViewId="0">
      <selection activeCell="H13" sqref="H13"/>
    </sheetView>
  </sheetViews>
  <sheetFormatPr defaultRowHeight="15" x14ac:dyDescent="0.25"/>
  <cols>
    <col min="1" max="1" width="7.7109375" customWidth="1"/>
    <col min="2" max="2" width="11.42578125" customWidth="1"/>
    <col min="3" max="3" width="12.140625" customWidth="1"/>
    <col min="4" max="4" width="40.7109375" customWidth="1"/>
    <col min="5" max="5" width="10.140625" style="1" bestFit="1" customWidth="1"/>
    <col min="6" max="6" width="8" bestFit="1" customWidth="1"/>
    <col min="7" max="8" width="13.5703125" style="4" bestFit="1" customWidth="1"/>
    <col min="9" max="9" width="15.85546875" style="4" bestFit="1" customWidth="1"/>
  </cols>
  <sheetData>
    <row r="1" spans="1:9" ht="15" customHeight="1" x14ac:dyDescent="0.25">
      <c r="A1" s="202" t="s">
        <v>460</v>
      </c>
      <c r="B1" s="203"/>
      <c r="C1" s="203"/>
      <c r="D1" s="208" t="s">
        <v>253</v>
      </c>
      <c r="E1" s="208"/>
      <c r="F1" s="208"/>
      <c r="G1" s="208"/>
      <c r="H1" s="208"/>
      <c r="I1" s="209"/>
    </row>
    <row r="2" spans="1:9" x14ac:dyDescent="0.25">
      <c r="A2" s="204"/>
      <c r="B2" s="205"/>
      <c r="C2" s="205"/>
      <c r="D2" s="210"/>
      <c r="E2" s="210"/>
      <c r="F2" s="210"/>
      <c r="G2" s="210"/>
      <c r="H2" s="210"/>
      <c r="I2" s="211"/>
    </row>
    <row r="3" spans="1:9" x14ac:dyDescent="0.25">
      <c r="A3" s="204"/>
      <c r="B3" s="205"/>
      <c r="C3" s="205"/>
      <c r="D3" s="210"/>
      <c r="E3" s="210"/>
      <c r="F3" s="210"/>
      <c r="G3" s="210"/>
      <c r="H3" s="210"/>
      <c r="I3" s="211"/>
    </row>
    <row r="4" spans="1:9" x14ac:dyDescent="0.25">
      <c r="A4" s="204"/>
      <c r="B4" s="205"/>
      <c r="C4" s="205"/>
      <c r="D4" s="210"/>
      <c r="E4" s="210"/>
      <c r="F4" s="210"/>
      <c r="G4" s="210"/>
      <c r="H4" s="210"/>
      <c r="I4" s="211"/>
    </row>
    <row r="5" spans="1:9" ht="15.75" thickBot="1" x14ac:dyDescent="0.3">
      <c r="A5" s="206"/>
      <c r="B5" s="207"/>
      <c r="C5" s="207"/>
      <c r="D5" s="212"/>
      <c r="E5" s="212"/>
      <c r="F5" s="212"/>
      <c r="G5" s="212"/>
      <c r="H5" s="212"/>
      <c r="I5" s="213"/>
    </row>
    <row r="6" spans="1:9" ht="15.75" thickBot="1" x14ac:dyDescent="0.3">
      <c r="A6" s="75"/>
      <c r="B6" s="75"/>
      <c r="C6" s="75"/>
      <c r="D6" s="76"/>
      <c r="E6" s="76"/>
      <c r="F6" s="76"/>
      <c r="G6" s="76"/>
      <c r="H6" s="76"/>
      <c r="I6" s="76"/>
    </row>
    <row r="7" spans="1:9" x14ac:dyDescent="0.25">
      <c r="A7" s="58" t="s">
        <v>254</v>
      </c>
      <c r="B7" s="59" t="s">
        <v>256</v>
      </c>
      <c r="C7" s="59"/>
      <c r="D7" s="59"/>
      <c r="E7" s="60"/>
      <c r="F7" s="59"/>
      <c r="G7" s="61"/>
      <c r="H7" s="107" t="s">
        <v>458</v>
      </c>
      <c r="I7" s="67">
        <v>44470</v>
      </c>
    </row>
    <row r="8" spans="1:9" ht="15.75" thickBot="1" x14ac:dyDescent="0.3">
      <c r="A8" s="62" t="s">
        <v>255</v>
      </c>
      <c r="B8" s="63" t="s">
        <v>257</v>
      </c>
      <c r="C8" s="63"/>
      <c r="D8" s="63"/>
      <c r="E8" s="64"/>
      <c r="F8" s="63"/>
      <c r="G8" s="65"/>
      <c r="H8" s="108" t="s">
        <v>459</v>
      </c>
      <c r="I8" s="110"/>
    </row>
    <row r="9" spans="1:9" ht="15.75" thickBot="1" x14ac:dyDescent="0.3"/>
    <row r="10" spans="1:9" ht="45.75" thickBot="1" x14ac:dyDescent="0.3">
      <c r="A10" s="20" t="s">
        <v>7</v>
      </c>
      <c r="B10" s="21" t="s">
        <v>193</v>
      </c>
      <c r="C10" s="21" t="s">
        <v>8</v>
      </c>
      <c r="D10" s="21" t="s">
        <v>9</v>
      </c>
      <c r="E10" s="22" t="s">
        <v>10</v>
      </c>
      <c r="F10" s="21" t="s">
        <v>11</v>
      </c>
      <c r="G10" s="23" t="s">
        <v>12</v>
      </c>
      <c r="H10" s="23" t="s">
        <v>457</v>
      </c>
      <c r="I10" s="24" t="s">
        <v>13</v>
      </c>
    </row>
    <row r="11" spans="1:9" ht="15.75" thickBot="1" x14ac:dyDescent="0.3">
      <c r="A11" s="2"/>
      <c r="B11" s="2"/>
      <c r="C11" s="2"/>
      <c r="D11" s="2"/>
      <c r="E11" s="3"/>
      <c r="F11" s="2"/>
      <c r="G11" s="5"/>
      <c r="H11" s="5"/>
      <c r="I11" s="5"/>
    </row>
    <row r="12" spans="1:9" x14ac:dyDescent="0.25">
      <c r="A12" s="29">
        <v>1</v>
      </c>
      <c r="B12" s="30"/>
      <c r="C12" s="31"/>
      <c r="D12" s="31" t="s">
        <v>14</v>
      </c>
      <c r="E12" s="32"/>
      <c r="F12" s="33"/>
      <c r="G12" s="34"/>
      <c r="H12" s="34"/>
      <c r="I12" s="35">
        <f>SUBTOTAL(9,I13:I14)</f>
        <v>0</v>
      </c>
    </row>
    <row r="13" spans="1:9" ht="71.25" x14ac:dyDescent="0.25">
      <c r="A13" s="13" t="s">
        <v>15</v>
      </c>
      <c r="B13" s="13">
        <v>4813</v>
      </c>
      <c r="C13" s="13" t="s">
        <v>403</v>
      </c>
      <c r="D13" s="14" t="s">
        <v>402</v>
      </c>
      <c r="E13" s="15">
        <v>6</v>
      </c>
      <c r="F13" s="13" t="s">
        <v>0</v>
      </c>
      <c r="G13" s="109"/>
      <c r="H13" s="16">
        <f>(G13*$I$8)+G13</f>
        <v>0</v>
      </c>
      <c r="I13" s="16">
        <f>E13*H13</f>
        <v>0</v>
      </c>
    </row>
    <row r="14" spans="1:9" ht="57" x14ac:dyDescent="0.25">
      <c r="A14" s="13" t="s">
        <v>17</v>
      </c>
      <c r="B14" s="48" t="s">
        <v>194</v>
      </c>
      <c r="C14" s="13" t="s">
        <v>403</v>
      </c>
      <c r="D14" s="14" t="s">
        <v>397</v>
      </c>
      <c r="E14" s="15">
        <v>12</v>
      </c>
      <c r="F14" s="13" t="s">
        <v>1</v>
      </c>
      <c r="G14" s="109"/>
      <c r="H14" s="16">
        <f>(G14*$I$8)+G14</f>
        <v>0</v>
      </c>
      <c r="I14" s="16">
        <f>E14*H14</f>
        <v>0</v>
      </c>
    </row>
    <row r="15" spans="1:9" x14ac:dyDescent="0.25">
      <c r="A15" s="38">
        <v>2</v>
      </c>
      <c r="B15" s="25"/>
      <c r="C15" s="6"/>
      <c r="D15" s="6" t="s">
        <v>18</v>
      </c>
      <c r="E15" s="26">
        <v>0</v>
      </c>
      <c r="F15" s="27"/>
      <c r="G15" s="28"/>
      <c r="H15" s="28"/>
      <c r="I15" s="39">
        <f>SUBTOTAL(9,I17:I132)</f>
        <v>0</v>
      </c>
    </row>
    <row r="16" spans="1:9" x14ac:dyDescent="0.25">
      <c r="A16" s="49"/>
      <c r="B16" s="44"/>
      <c r="C16" s="50"/>
      <c r="D16" s="50" t="s">
        <v>198</v>
      </c>
      <c r="E16" s="18">
        <v>0</v>
      </c>
      <c r="F16" s="17"/>
      <c r="G16" s="19"/>
      <c r="H16" s="19"/>
      <c r="I16" s="51">
        <f>SUBTOTAL(9,I17)</f>
        <v>0</v>
      </c>
    </row>
    <row r="17" spans="1:9" ht="57" x14ac:dyDescent="0.25">
      <c r="A17" s="13" t="s">
        <v>19</v>
      </c>
      <c r="B17" s="48" t="s">
        <v>195</v>
      </c>
      <c r="C17" s="13" t="s">
        <v>16</v>
      </c>
      <c r="D17" s="14" t="s">
        <v>20</v>
      </c>
      <c r="E17" s="15">
        <v>31.67</v>
      </c>
      <c r="F17" s="13" t="s">
        <v>2</v>
      </c>
      <c r="G17" s="109"/>
      <c r="H17" s="16">
        <f>(G17*$I$8)+G17</f>
        <v>0</v>
      </c>
      <c r="I17" s="16">
        <f>E17*H17</f>
        <v>0</v>
      </c>
    </row>
    <row r="18" spans="1:9" x14ac:dyDescent="0.25">
      <c r="A18" s="52"/>
      <c r="B18" s="44"/>
      <c r="C18" s="53"/>
      <c r="D18" s="53" t="s">
        <v>199</v>
      </c>
      <c r="E18" s="54">
        <v>0</v>
      </c>
      <c r="F18" s="55"/>
      <c r="G18" s="56"/>
      <c r="H18" s="56"/>
      <c r="I18" s="57">
        <f>SUBTOTAL(9,I19:I26)</f>
        <v>0</v>
      </c>
    </row>
    <row r="19" spans="1:9" ht="57" x14ac:dyDescent="0.25">
      <c r="A19" s="13" t="s">
        <v>21</v>
      </c>
      <c r="B19" s="48">
        <v>96624</v>
      </c>
      <c r="C19" s="13" t="s">
        <v>16</v>
      </c>
      <c r="D19" s="14" t="s">
        <v>320</v>
      </c>
      <c r="E19" s="15">
        <v>0.42</v>
      </c>
      <c r="F19" s="13" t="s">
        <v>3</v>
      </c>
      <c r="G19" s="109"/>
      <c r="H19" s="16">
        <f t="shared" ref="H19:H26" si="0">(G19*$I$8)+G19</f>
        <v>0</v>
      </c>
      <c r="I19" s="16">
        <f t="shared" ref="I19:I26" si="1">E19*H19</f>
        <v>0</v>
      </c>
    </row>
    <row r="20" spans="1:9" ht="71.25" x14ac:dyDescent="0.25">
      <c r="A20" s="13" t="s">
        <v>22</v>
      </c>
      <c r="B20" s="48" t="s">
        <v>318</v>
      </c>
      <c r="C20" s="13" t="s">
        <v>16</v>
      </c>
      <c r="D20" s="14" t="s">
        <v>319</v>
      </c>
      <c r="E20" s="15">
        <v>66</v>
      </c>
      <c r="F20" s="13" t="s">
        <v>2</v>
      </c>
      <c r="G20" s="109"/>
      <c r="H20" s="16">
        <f t="shared" si="0"/>
        <v>0</v>
      </c>
      <c r="I20" s="16">
        <f t="shared" si="1"/>
        <v>0</v>
      </c>
    </row>
    <row r="21" spans="1:9" ht="28.5" x14ac:dyDescent="0.25">
      <c r="A21" s="13" t="s">
        <v>23</v>
      </c>
      <c r="B21" s="48">
        <v>97082</v>
      </c>
      <c r="C21" s="13" t="s">
        <v>16</v>
      </c>
      <c r="D21" s="14" t="s">
        <v>404</v>
      </c>
      <c r="E21" s="15">
        <v>2.5299999999999998</v>
      </c>
      <c r="F21" s="13" t="s">
        <v>3</v>
      </c>
      <c r="G21" s="109"/>
      <c r="H21" s="16">
        <f t="shared" si="0"/>
        <v>0</v>
      </c>
      <c r="I21" s="16">
        <f t="shared" si="1"/>
        <v>0</v>
      </c>
    </row>
    <row r="22" spans="1:9" ht="28.5" x14ac:dyDescent="0.25">
      <c r="A22" s="13" t="s">
        <v>24</v>
      </c>
      <c r="B22" s="48" t="s">
        <v>196</v>
      </c>
      <c r="C22" s="13" t="s">
        <v>16</v>
      </c>
      <c r="D22" s="14" t="s">
        <v>25</v>
      </c>
      <c r="E22" s="15">
        <v>0.84</v>
      </c>
      <c r="F22" s="13" t="s">
        <v>3</v>
      </c>
      <c r="G22" s="109"/>
      <c r="H22" s="16">
        <f t="shared" si="0"/>
        <v>0</v>
      </c>
      <c r="I22" s="16">
        <f t="shared" si="1"/>
        <v>0</v>
      </c>
    </row>
    <row r="23" spans="1:9" ht="42.75" x14ac:dyDescent="0.25">
      <c r="A23" s="13" t="s">
        <v>26</v>
      </c>
      <c r="B23" s="48" t="s">
        <v>323</v>
      </c>
      <c r="C23" s="13" t="s">
        <v>16</v>
      </c>
      <c r="D23" s="14" t="s">
        <v>324</v>
      </c>
      <c r="E23" s="15">
        <v>16.84</v>
      </c>
      <c r="F23" s="13" t="s">
        <v>0</v>
      </c>
      <c r="G23" s="109"/>
      <c r="H23" s="16">
        <f t="shared" si="0"/>
        <v>0</v>
      </c>
      <c r="I23" s="16">
        <f t="shared" si="1"/>
        <v>0</v>
      </c>
    </row>
    <row r="24" spans="1:9" ht="57" x14ac:dyDescent="0.25">
      <c r="A24" s="13" t="s">
        <v>27</v>
      </c>
      <c r="B24" s="48">
        <v>100345</v>
      </c>
      <c r="C24" s="13" t="s">
        <v>16</v>
      </c>
      <c r="D24" s="14" t="s">
        <v>28</v>
      </c>
      <c r="E24" s="15">
        <v>134.69</v>
      </c>
      <c r="F24" s="13" t="s">
        <v>4</v>
      </c>
      <c r="G24" s="109"/>
      <c r="H24" s="16">
        <f t="shared" si="0"/>
        <v>0</v>
      </c>
      <c r="I24" s="16">
        <f t="shared" si="1"/>
        <v>0</v>
      </c>
    </row>
    <row r="25" spans="1:9" ht="71.25" x14ac:dyDescent="0.25">
      <c r="A25" s="13" t="s">
        <v>29</v>
      </c>
      <c r="B25" s="48">
        <v>1525</v>
      </c>
      <c r="C25" s="13" t="s">
        <v>16</v>
      </c>
      <c r="D25" s="14" t="s">
        <v>30</v>
      </c>
      <c r="E25" s="15">
        <v>1.68</v>
      </c>
      <c r="F25" s="13" t="s">
        <v>3</v>
      </c>
      <c r="G25" s="109"/>
      <c r="H25" s="16">
        <f t="shared" si="0"/>
        <v>0</v>
      </c>
      <c r="I25" s="16">
        <f t="shared" si="1"/>
        <v>0</v>
      </c>
    </row>
    <row r="26" spans="1:9" ht="57" x14ac:dyDescent="0.25">
      <c r="A26" s="13" t="s">
        <v>31</v>
      </c>
      <c r="B26" s="48" t="s">
        <v>197</v>
      </c>
      <c r="C26" s="13" t="s">
        <v>16</v>
      </c>
      <c r="D26" s="14" t="s">
        <v>32</v>
      </c>
      <c r="E26" s="15">
        <v>1.68</v>
      </c>
      <c r="F26" s="13" t="s">
        <v>3</v>
      </c>
      <c r="G26" s="109"/>
      <c r="H26" s="16">
        <f t="shared" si="0"/>
        <v>0</v>
      </c>
      <c r="I26" s="16">
        <f t="shared" si="1"/>
        <v>0</v>
      </c>
    </row>
    <row r="27" spans="1:9" x14ac:dyDescent="0.25">
      <c r="A27" s="52"/>
      <c r="B27" s="44"/>
      <c r="C27" s="53"/>
      <c r="D27" s="53" t="s">
        <v>202</v>
      </c>
      <c r="E27" s="54">
        <v>0</v>
      </c>
      <c r="F27" s="55"/>
      <c r="G27" s="56"/>
      <c r="H27" s="56"/>
      <c r="I27" s="57">
        <f>SUBTOTAL(9,I28:I32)</f>
        <v>0</v>
      </c>
    </row>
    <row r="28" spans="1:9" ht="71.25" x14ac:dyDescent="0.25">
      <c r="A28" s="13" t="s">
        <v>33</v>
      </c>
      <c r="B28" s="48" t="s">
        <v>200</v>
      </c>
      <c r="C28" s="13" t="s">
        <v>16</v>
      </c>
      <c r="D28" s="14" t="s">
        <v>34</v>
      </c>
      <c r="E28" s="15">
        <v>16.47</v>
      </c>
      <c r="F28" s="13" t="s">
        <v>0</v>
      </c>
      <c r="G28" s="109"/>
      <c r="H28" s="16">
        <f>(G28*$I$8)+G28</f>
        <v>0</v>
      </c>
      <c r="I28" s="16">
        <f>E28*H28</f>
        <v>0</v>
      </c>
    </row>
    <row r="29" spans="1:9" ht="57" x14ac:dyDescent="0.25">
      <c r="A29" s="13" t="s">
        <v>35</v>
      </c>
      <c r="B29" s="48" t="s">
        <v>201</v>
      </c>
      <c r="C29" s="13" t="s">
        <v>16</v>
      </c>
      <c r="D29" s="14" t="s">
        <v>28</v>
      </c>
      <c r="E29" s="15">
        <v>184.4</v>
      </c>
      <c r="F29" s="13" t="s">
        <v>4</v>
      </c>
      <c r="G29" s="109"/>
      <c r="H29" s="16">
        <f>(G29*$I$8)+G29</f>
        <v>0</v>
      </c>
      <c r="I29" s="16">
        <f>E29*H29</f>
        <v>0</v>
      </c>
    </row>
    <row r="30" spans="1:9" ht="71.25" x14ac:dyDescent="0.25">
      <c r="A30" s="13" t="s">
        <v>36</v>
      </c>
      <c r="B30" s="48">
        <v>1525</v>
      </c>
      <c r="C30" s="13" t="s">
        <v>16</v>
      </c>
      <c r="D30" s="14" t="s">
        <v>30</v>
      </c>
      <c r="E30" s="15">
        <v>2.31</v>
      </c>
      <c r="F30" s="13" t="s">
        <v>3</v>
      </c>
      <c r="G30" s="109"/>
      <c r="H30" s="16">
        <f>(G30*$I$8)+G30</f>
        <v>0</v>
      </c>
      <c r="I30" s="16">
        <f>E30*H30</f>
        <v>0</v>
      </c>
    </row>
    <row r="31" spans="1:9" ht="57" x14ac:dyDescent="0.25">
      <c r="A31" s="13" t="s">
        <v>37</v>
      </c>
      <c r="B31" s="48" t="s">
        <v>197</v>
      </c>
      <c r="C31" s="13" t="s">
        <v>16</v>
      </c>
      <c r="D31" s="14" t="s">
        <v>32</v>
      </c>
      <c r="E31" s="15">
        <v>2.31</v>
      </c>
      <c r="F31" s="13" t="s">
        <v>3</v>
      </c>
      <c r="G31" s="109"/>
      <c r="H31" s="16">
        <f>(G31*$I$8)+G31</f>
        <v>0</v>
      </c>
      <c r="I31" s="16">
        <f>E31*H31</f>
        <v>0</v>
      </c>
    </row>
    <row r="32" spans="1:9" ht="85.5" x14ac:dyDescent="0.25">
      <c r="A32" s="13" t="s">
        <v>38</v>
      </c>
      <c r="B32" s="48" t="s">
        <v>325</v>
      </c>
      <c r="C32" s="13" t="s">
        <v>16</v>
      </c>
      <c r="D32" s="14" t="s">
        <v>326</v>
      </c>
      <c r="E32" s="15">
        <v>31.67</v>
      </c>
      <c r="F32" s="13" t="s">
        <v>0</v>
      </c>
      <c r="G32" s="109"/>
      <c r="H32" s="16">
        <f>(G32*$I$8)+G32</f>
        <v>0</v>
      </c>
      <c r="I32" s="16">
        <f>E32*H32</f>
        <v>0</v>
      </c>
    </row>
    <row r="33" spans="1:9" x14ac:dyDescent="0.25">
      <c r="A33" s="45"/>
      <c r="B33" s="8"/>
      <c r="C33" s="10"/>
      <c r="D33" s="6" t="s">
        <v>203</v>
      </c>
      <c r="E33" s="46">
        <v>0</v>
      </c>
      <c r="F33" s="10"/>
      <c r="G33" s="12"/>
      <c r="H33" s="12"/>
      <c r="I33" s="39">
        <f>SUBTOTAL(9,I34:I35)</f>
        <v>0</v>
      </c>
    </row>
    <row r="34" spans="1:9" ht="71.25" x14ac:dyDescent="0.25">
      <c r="A34" s="13" t="s">
        <v>39</v>
      </c>
      <c r="B34" s="48" t="s">
        <v>204</v>
      </c>
      <c r="C34" s="13" t="s">
        <v>16</v>
      </c>
      <c r="D34" s="14" t="s">
        <v>40</v>
      </c>
      <c r="E34" s="15">
        <v>5.61</v>
      </c>
      <c r="F34" s="13" t="s">
        <v>0</v>
      </c>
      <c r="G34" s="109"/>
      <c r="H34" s="16">
        <f>(G34*$I$8)+G34</f>
        <v>0</v>
      </c>
      <c r="I34" s="16">
        <f>E34*H34</f>
        <v>0</v>
      </c>
    </row>
    <row r="35" spans="1:9" ht="57" x14ac:dyDescent="0.25">
      <c r="A35" s="13" t="s">
        <v>41</v>
      </c>
      <c r="B35" s="48" t="s">
        <v>205</v>
      </c>
      <c r="C35" s="13" t="s">
        <v>16</v>
      </c>
      <c r="D35" s="14" t="s">
        <v>42</v>
      </c>
      <c r="E35" s="15">
        <v>5.61</v>
      </c>
      <c r="F35" s="13" t="s">
        <v>0</v>
      </c>
      <c r="G35" s="109"/>
      <c r="H35" s="16">
        <f>(G35*$I$8)+G35</f>
        <v>0</v>
      </c>
      <c r="I35" s="16">
        <f>E35*H35</f>
        <v>0</v>
      </c>
    </row>
    <row r="36" spans="1:9" x14ac:dyDescent="0.25">
      <c r="A36" s="45"/>
      <c r="B36" s="8"/>
      <c r="C36" s="10"/>
      <c r="D36" s="6" t="s">
        <v>206</v>
      </c>
      <c r="E36" s="46">
        <v>0</v>
      </c>
      <c r="F36" s="10"/>
      <c r="G36" s="12"/>
      <c r="H36" s="12"/>
      <c r="I36" s="39">
        <f>SUBTOTAL(9,I37:I40)</f>
        <v>0</v>
      </c>
    </row>
    <row r="37" spans="1:9" ht="85.5" x14ac:dyDescent="0.25">
      <c r="A37" s="13" t="s">
        <v>43</v>
      </c>
      <c r="B37" s="48" t="s">
        <v>327</v>
      </c>
      <c r="C37" s="13" t="s">
        <v>16</v>
      </c>
      <c r="D37" s="14" t="s">
        <v>328</v>
      </c>
      <c r="E37" s="15">
        <v>1.1200000000000001</v>
      </c>
      <c r="F37" s="13" t="s">
        <v>3</v>
      </c>
      <c r="G37" s="109"/>
      <c r="H37" s="16">
        <f>(G37*$I$8)+G37</f>
        <v>0</v>
      </c>
      <c r="I37" s="16">
        <f>E37*H37</f>
        <v>0</v>
      </c>
    </row>
    <row r="38" spans="1:9" ht="71.25" x14ac:dyDescent="0.25">
      <c r="A38" s="13" t="s">
        <v>44</v>
      </c>
      <c r="B38" s="48" t="s">
        <v>380</v>
      </c>
      <c r="C38" s="13" t="s">
        <v>16</v>
      </c>
      <c r="D38" s="14" t="s">
        <v>381</v>
      </c>
      <c r="E38" s="15">
        <v>104.28</v>
      </c>
      <c r="F38" s="13" t="s">
        <v>0</v>
      </c>
      <c r="G38" s="109"/>
      <c r="H38" s="16">
        <f>(G38*$I$8)+G38</f>
        <v>0</v>
      </c>
      <c r="I38" s="16">
        <f>E38*H38</f>
        <v>0</v>
      </c>
    </row>
    <row r="39" spans="1:9" ht="42.75" x14ac:dyDescent="0.25">
      <c r="A39" s="13" t="s">
        <v>45</v>
      </c>
      <c r="B39" s="48" t="s">
        <v>207</v>
      </c>
      <c r="C39" s="13" t="s">
        <v>16</v>
      </c>
      <c r="D39" s="14" t="s">
        <v>46</v>
      </c>
      <c r="E39" s="15">
        <v>8.49</v>
      </c>
      <c r="F39" s="13" t="s">
        <v>2</v>
      </c>
      <c r="G39" s="109"/>
      <c r="H39" s="16">
        <f>(G39*$I$8)+G39</f>
        <v>0</v>
      </c>
      <c r="I39" s="16">
        <f>E39*H39</f>
        <v>0</v>
      </c>
    </row>
    <row r="40" spans="1:9" ht="42.75" x14ac:dyDescent="0.25">
      <c r="A40" s="13" t="s">
        <v>47</v>
      </c>
      <c r="B40" s="48" t="s">
        <v>208</v>
      </c>
      <c r="C40" s="13" t="s">
        <v>16</v>
      </c>
      <c r="D40" s="14" t="s">
        <v>48</v>
      </c>
      <c r="E40" s="15">
        <v>8.58</v>
      </c>
      <c r="F40" s="13" t="s">
        <v>2</v>
      </c>
      <c r="G40" s="109"/>
      <c r="H40" s="16">
        <f>(G40*$I$8)+G40</f>
        <v>0</v>
      </c>
      <c r="I40" s="16">
        <f>E40*H40</f>
        <v>0</v>
      </c>
    </row>
    <row r="41" spans="1:9" x14ac:dyDescent="0.25">
      <c r="A41" s="45"/>
      <c r="B41" s="8"/>
      <c r="C41" s="10"/>
      <c r="D41" s="6" t="s">
        <v>209</v>
      </c>
      <c r="E41" s="46">
        <v>0</v>
      </c>
      <c r="F41" s="10"/>
      <c r="G41" s="12"/>
      <c r="H41" s="12"/>
      <c r="I41" s="39">
        <f>SUBTOTAL(9,I42:I49)</f>
        <v>0</v>
      </c>
    </row>
    <row r="42" spans="1:9" ht="85.5" x14ac:dyDescent="0.25">
      <c r="A42" s="13" t="s">
        <v>49</v>
      </c>
      <c r="B42" s="48" t="s">
        <v>210</v>
      </c>
      <c r="C42" s="13" t="s">
        <v>16</v>
      </c>
      <c r="D42" s="14" t="s">
        <v>50</v>
      </c>
      <c r="E42" s="15">
        <v>31.67</v>
      </c>
      <c r="F42" s="13" t="s">
        <v>0</v>
      </c>
      <c r="G42" s="109"/>
      <c r="H42" s="16">
        <f t="shared" ref="H42:H49" si="2">(G42*$I$8)+G42</f>
        <v>0</v>
      </c>
      <c r="I42" s="16">
        <f t="shared" ref="I42:I49" si="3">E42*H42</f>
        <v>0</v>
      </c>
    </row>
    <row r="43" spans="1:9" ht="71.25" x14ac:dyDescent="0.25">
      <c r="A43" s="13" t="s">
        <v>51</v>
      </c>
      <c r="B43" s="48" t="s">
        <v>211</v>
      </c>
      <c r="C43" s="13" t="s">
        <v>16</v>
      </c>
      <c r="D43" s="14" t="s">
        <v>400</v>
      </c>
      <c r="E43" s="15">
        <v>46.17</v>
      </c>
      <c r="F43" s="13" t="s">
        <v>0</v>
      </c>
      <c r="G43" s="109"/>
      <c r="H43" s="16">
        <f t="shared" si="2"/>
        <v>0</v>
      </c>
      <c r="I43" s="16">
        <f t="shared" si="3"/>
        <v>0</v>
      </c>
    </row>
    <row r="44" spans="1:9" ht="57" x14ac:dyDescent="0.25">
      <c r="A44" s="13" t="s">
        <v>52</v>
      </c>
      <c r="B44" s="48" t="s">
        <v>212</v>
      </c>
      <c r="C44" s="13" t="s">
        <v>16</v>
      </c>
      <c r="D44" s="14" t="s">
        <v>53</v>
      </c>
      <c r="E44" s="15">
        <v>42.24</v>
      </c>
      <c r="F44" s="13" t="s">
        <v>2</v>
      </c>
      <c r="G44" s="109"/>
      <c r="H44" s="16">
        <f t="shared" si="2"/>
        <v>0</v>
      </c>
      <c r="I44" s="16">
        <f t="shared" si="3"/>
        <v>0</v>
      </c>
    </row>
    <row r="45" spans="1:9" ht="71.25" x14ac:dyDescent="0.25">
      <c r="A45" s="13" t="s">
        <v>54</v>
      </c>
      <c r="B45" s="48" t="s">
        <v>213</v>
      </c>
      <c r="C45" s="13" t="s">
        <v>16</v>
      </c>
      <c r="D45" s="14" t="s">
        <v>55</v>
      </c>
      <c r="E45" s="15">
        <v>18.899999999999999</v>
      </c>
      <c r="F45" s="13" t="s">
        <v>2</v>
      </c>
      <c r="G45" s="109"/>
      <c r="H45" s="16">
        <f t="shared" si="2"/>
        <v>0</v>
      </c>
      <c r="I45" s="16">
        <f t="shared" si="3"/>
        <v>0</v>
      </c>
    </row>
    <row r="46" spans="1:9" ht="114" x14ac:dyDescent="0.25">
      <c r="A46" s="13" t="s">
        <v>56</v>
      </c>
      <c r="B46" s="48" t="s">
        <v>329</v>
      </c>
      <c r="C46" s="13" t="s">
        <v>16</v>
      </c>
      <c r="D46" s="14" t="s">
        <v>330</v>
      </c>
      <c r="E46" s="15">
        <v>217.5</v>
      </c>
      <c r="F46" s="13" t="s">
        <v>4</v>
      </c>
      <c r="G46" s="109"/>
      <c r="H46" s="16">
        <f t="shared" si="2"/>
        <v>0</v>
      </c>
      <c r="I46" s="16">
        <f t="shared" si="3"/>
        <v>0</v>
      </c>
    </row>
    <row r="47" spans="1:9" ht="57" x14ac:dyDescent="0.25">
      <c r="A47" s="13" t="s">
        <v>57</v>
      </c>
      <c r="B47" s="48" t="s">
        <v>214</v>
      </c>
      <c r="C47" s="13" t="s">
        <v>16</v>
      </c>
      <c r="D47" s="14" t="s">
        <v>58</v>
      </c>
      <c r="E47" s="15">
        <v>11.3</v>
      </c>
      <c r="F47" s="13" t="s">
        <v>2</v>
      </c>
      <c r="G47" s="109"/>
      <c r="H47" s="16">
        <f t="shared" si="2"/>
        <v>0</v>
      </c>
      <c r="I47" s="16">
        <f t="shared" si="3"/>
        <v>0</v>
      </c>
    </row>
    <row r="48" spans="1:9" ht="71.25" x14ac:dyDescent="0.25">
      <c r="A48" s="13" t="s">
        <v>59</v>
      </c>
      <c r="B48" s="48" t="s">
        <v>215</v>
      </c>
      <c r="C48" s="13" t="s">
        <v>16</v>
      </c>
      <c r="D48" s="14" t="s">
        <v>60</v>
      </c>
      <c r="E48" s="15">
        <v>2</v>
      </c>
      <c r="F48" s="13" t="s">
        <v>5</v>
      </c>
      <c r="G48" s="109"/>
      <c r="H48" s="16">
        <f t="shared" si="2"/>
        <v>0</v>
      </c>
      <c r="I48" s="16">
        <f t="shared" si="3"/>
        <v>0</v>
      </c>
    </row>
    <row r="49" spans="1:9" ht="57" x14ac:dyDescent="0.25">
      <c r="A49" s="13" t="s">
        <v>61</v>
      </c>
      <c r="B49" s="48" t="s">
        <v>216</v>
      </c>
      <c r="C49" s="13" t="s">
        <v>16</v>
      </c>
      <c r="D49" s="14" t="s">
        <v>360</v>
      </c>
      <c r="E49" s="15">
        <v>8</v>
      </c>
      <c r="F49" s="13" t="s">
        <v>5</v>
      </c>
      <c r="G49" s="109"/>
      <c r="H49" s="16">
        <f t="shared" si="2"/>
        <v>0</v>
      </c>
      <c r="I49" s="16">
        <f t="shared" si="3"/>
        <v>0</v>
      </c>
    </row>
    <row r="50" spans="1:9" x14ac:dyDescent="0.25">
      <c r="A50" s="45"/>
      <c r="B50" s="8"/>
      <c r="C50" s="10"/>
      <c r="D50" s="6" t="s">
        <v>217</v>
      </c>
      <c r="E50" s="46">
        <v>0</v>
      </c>
      <c r="F50" s="10"/>
      <c r="G50" s="12"/>
      <c r="H50" s="12"/>
      <c r="I50" s="39">
        <f>SUBTOTAL(9,I51:I53)</f>
        <v>0</v>
      </c>
    </row>
    <row r="51" spans="1:9" ht="99.75" x14ac:dyDescent="0.25">
      <c r="A51" s="36" t="s">
        <v>62</v>
      </c>
      <c r="B51" s="47" t="s">
        <v>218</v>
      </c>
      <c r="C51" s="13" t="s">
        <v>16</v>
      </c>
      <c r="D51" s="14" t="s">
        <v>63</v>
      </c>
      <c r="E51" s="15">
        <v>90.26</v>
      </c>
      <c r="F51" s="13" t="s">
        <v>0</v>
      </c>
      <c r="G51" s="109"/>
      <c r="H51" s="16">
        <f>(G51*$I$8)+G51</f>
        <v>0</v>
      </c>
      <c r="I51" s="37">
        <f>E51*H51</f>
        <v>0</v>
      </c>
    </row>
    <row r="52" spans="1:9" ht="99.75" x14ac:dyDescent="0.25">
      <c r="A52" s="36" t="s">
        <v>64</v>
      </c>
      <c r="B52" s="47" t="s">
        <v>219</v>
      </c>
      <c r="C52" s="13" t="s">
        <v>16</v>
      </c>
      <c r="D52" s="14" t="s">
        <v>65</v>
      </c>
      <c r="E52" s="15">
        <v>90.26</v>
      </c>
      <c r="F52" s="13" t="s">
        <v>0</v>
      </c>
      <c r="G52" s="109"/>
      <c r="H52" s="16">
        <f>(G52*$I$8)+G52</f>
        <v>0</v>
      </c>
      <c r="I52" s="37">
        <f>E52*H52</f>
        <v>0</v>
      </c>
    </row>
    <row r="53" spans="1:9" ht="42.75" x14ac:dyDescent="0.25">
      <c r="A53" s="36" t="s">
        <v>66</v>
      </c>
      <c r="B53" s="47" t="s">
        <v>220</v>
      </c>
      <c r="C53" s="13" t="s">
        <v>16</v>
      </c>
      <c r="D53" s="14" t="s">
        <v>396</v>
      </c>
      <c r="E53" s="15">
        <v>1.44</v>
      </c>
      <c r="F53" s="13" t="s">
        <v>0</v>
      </c>
      <c r="G53" s="109"/>
      <c r="H53" s="16">
        <f>(G53*$I$8)+G53</f>
        <v>0</v>
      </c>
      <c r="I53" s="37">
        <f>E53*H53</f>
        <v>0</v>
      </c>
    </row>
    <row r="54" spans="1:9" x14ac:dyDescent="0.25">
      <c r="A54" s="45"/>
      <c r="B54" s="8"/>
      <c r="C54" s="10"/>
      <c r="D54" s="6" t="s">
        <v>221</v>
      </c>
      <c r="E54" s="46">
        <v>0</v>
      </c>
      <c r="F54" s="10"/>
      <c r="G54" s="12"/>
      <c r="H54" s="12"/>
      <c r="I54" s="39">
        <f>SUBTOTAL(9,I55:I56)</f>
        <v>0</v>
      </c>
    </row>
    <row r="55" spans="1:9" ht="71.25" x14ac:dyDescent="0.25">
      <c r="A55" s="13" t="s">
        <v>67</v>
      </c>
      <c r="B55" s="48" t="s">
        <v>222</v>
      </c>
      <c r="C55" s="13" t="s">
        <v>16</v>
      </c>
      <c r="D55" s="14" t="s">
        <v>68</v>
      </c>
      <c r="E55" s="15">
        <v>26.21</v>
      </c>
      <c r="F55" s="13" t="s">
        <v>0</v>
      </c>
      <c r="G55" s="109"/>
      <c r="H55" s="16">
        <f>(G55*$I$8)+G55</f>
        <v>0</v>
      </c>
      <c r="I55" s="16">
        <f>E55*H55</f>
        <v>0</v>
      </c>
    </row>
    <row r="56" spans="1:9" ht="99.75" x14ac:dyDescent="0.25">
      <c r="A56" s="13" t="s">
        <v>69</v>
      </c>
      <c r="B56" s="48" t="s">
        <v>218</v>
      </c>
      <c r="C56" s="13" t="s">
        <v>16</v>
      </c>
      <c r="D56" s="14" t="s">
        <v>63</v>
      </c>
      <c r="E56" s="15">
        <v>26.21</v>
      </c>
      <c r="F56" s="13" t="s">
        <v>0</v>
      </c>
      <c r="G56" s="109"/>
      <c r="H56" s="16">
        <f>(G56*$I$8)+G56</f>
        <v>0</v>
      </c>
      <c r="I56" s="16">
        <f>E56*H56</f>
        <v>0</v>
      </c>
    </row>
    <row r="57" spans="1:9" x14ac:dyDescent="0.25">
      <c r="A57" s="45"/>
      <c r="B57" s="8"/>
      <c r="C57" s="10"/>
      <c r="D57" s="6" t="s">
        <v>223</v>
      </c>
      <c r="E57" s="46">
        <v>0</v>
      </c>
      <c r="F57" s="10"/>
      <c r="G57" s="12"/>
      <c r="H57" s="12"/>
      <c r="I57" s="39">
        <f>SUBTOTAL(9,I58:I59)</f>
        <v>0</v>
      </c>
    </row>
    <row r="58" spans="1:9" ht="71.25" x14ac:dyDescent="0.25">
      <c r="A58" s="13" t="s">
        <v>70</v>
      </c>
      <c r="B58" s="48" t="s">
        <v>222</v>
      </c>
      <c r="C58" s="13" t="s">
        <v>16</v>
      </c>
      <c r="D58" s="14" t="s">
        <v>68</v>
      </c>
      <c r="E58" s="15">
        <v>10</v>
      </c>
      <c r="F58" s="13" t="s">
        <v>0</v>
      </c>
      <c r="G58" s="109"/>
      <c r="H58" s="16">
        <f>(G58*$I$8)+G58</f>
        <v>0</v>
      </c>
      <c r="I58" s="16">
        <f>E58*H58</f>
        <v>0</v>
      </c>
    </row>
    <row r="59" spans="1:9" ht="99.75" x14ac:dyDescent="0.25">
      <c r="A59" s="13" t="s">
        <v>71</v>
      </c>
      <c r="B59" s="48" t="s">
        <v>218</v>
      </c>
      <c r="C59" s="13" t="s">
        <v>16</v>
      </c>
      <c r="D59" s="14" t="s">
        <v>63</v>
      </c>
      <c r="E59" s="15">
        <v>10</v>
      </c>
      <c r="F59" s="13" t="s">
        <v>0</v>
      </c>
      <c r="G59" s="109"/>
      <c r="H59" s="16">
        <f>(G59*$I$8)+G59</f>
        <v>0</v>
      </c>
      <c r="I59" s="16">
        <f>E59*H59</f>
        <v>0</v>
      </c>
    </row>
    <row r="60" spans="1:9" x14ac:dyDescent="0.25">
      <c r="A60" s="45"/>
      <c r="B60" s="8"/>
      <c r="C60" s="10"/>
      <c r="D60" s="6" t="s">
        <v>241</v>
      </c>
      <c r="E60" s="46">
        <v>0</v>
      </c>
      <c r="F60" s="10"/>
      <c r="G60" s="12"/>
      <c r="H60" s="12"/>
      <c r="I60" s="39">
        <f>SUBTOTAL(9,I61:I66)</f>
        <v>0</v>
      </c>
    </row>
    <row r="61" spans="1:9" ht="57" x14ac:dyDescent="0.25">
      <c r="A61" s="13" t="s">
        <v>72</v>
      </c>
      <c r="B61" s="48" t="s">
        <v>242</v>
      </c>
      <c r="C61" s="13" t="s">
        <v>16</v>
      </c>
      <c r="D61" s="14" t="s">
        <v>320</v>
      </c>
      <c r="E61" s="15">
        <v>3.3</v>
      </c>
      <c r="F61" s="13" t="s">
        <v>3</v>
      </c>
      <c r="G61" s="109"/>
      <c r="H61" s="16">
        <f t="shared" ref="H61:H66" si="4">(G61*$I$8)+G61</f>
        <v>0</v>
      </c>
      <c r="I61" s="16">
        <f t="shared" ref="I61:I66" si="5">E61*H61</f>
        <v>0</v>
      </c>
    </row>
    <row r="62" spans="1:9" ht="57" x14ac:dyDescent="0.25">
      <c r="A62" s="13" t="s">
        <v>73</v>
      </c>
      <c r="B62" s="48" t="s">
        <v>322</v>
      </c>
      <c r="C62" s="13" t="s">
        <v>16</v>
      </c>
      <c r="D62" s="14" t="s">
        <v>405</v>
      </c>
      <c r="E62" s="15">
        <v>55.05</v>
      </c>
      <c r="F62" s="13" t="s">
        <v>0</v>
      </c>
      <c r="G62" s="109"/>
      <c r="H62" s="16">
        <f t="shared" si="4"/>
        <v>0</v>
      </c>
      <c r="I62" s="16">
        <f t="shared" si="5"/>
        <v>0</v>
      </c>
    </row>
    <row r="63" spans="1:9" ht="99.75" x14ac:dyDescent="0.25">
      <c r="A63" s="13" t="s">
        <v>74</v>
      </c>
      <c r="B63" s="48" t="s">
        <v>243</v>
      </c>
      <c r="C63" s="13" t="s">
        <v>16</v>
      </c>
      <c r="D63" s="14" t="s">
        <v>406</v>
      </c>
      <c r="E63" s="15">
        <v>23.94</v>
      </c>
      <c r="F63" s="13" t="s">
        <v>0</v>
      </c>
      <c r="G63" s="109"/>
      <c r="H63" s="16">
        <f t="shared" si="4"/>
        <v>0</v>
      </c>
      <c r="I63" s="16">
        <f t="shared" si="5"/>
        <v>0</v>
      </c>
    </row>
    <row r="64" spans="1:9" ht="71.25" x14ac:dyDescent="0.25">
      <c r="A64" s="13" t="s">
        <v>75</v>
      </c>
      <c r="B64" s="48" t="s">
        <v>244</v>
      </c>
      <c r="C64" s="13" t="s">
        <v>16</v>
      </c>
      <c r="D64" s="14" t="s">
        <v>76</v>
      </c>
      <c r="E64" s="15">
        <v>23.94</v>
      </c>
      <c r="F64" s="13" t="s">
        <v>0</v>
      </c>
      <c r="G64" s="109"/>
      <c r="H64" s="16">
        <f t="shared" si="4"/>
        <v>0</v>
      </c>
      <c r="I64" s="16">
        <f t="shared" si="5"/>
        <v>0</v>
      </c>
    </row>
    <row r="65" spans="1:9" ht="28.5" x14ac:dyDescent="0.25">
      <c r="A65" s="13" t="s">
        <v>77</v>
      </c>
      <c r="B65" s="48" t="s">
        <v>245</v>
      </c>
      <c r="C65" s="13" t="s">
        <v>16</v>
      </c>
      <c r="D65" s="14" t="s">
        <v>387</v>
      </c>
      <c r="E65" s="15">
        <v>0.8</v>
      </c>
      <c r="F65" s="13" t="s">
        <v>2</v>
      </c>
      <c r="G65" s="109"/>
      <c r="H65" s="16">
        <f t="shared" si="4"/>
        <v>0</v>
      </c>
      <c r="I65" s="16">
        <f t="shared" si="5"/>
        <v>0</v>
      </c>
    </row>
    <row r="66" spans="1:9" ht="71.25" x14ac:dyDescent="0.25">
      <c r="A66" s="13" t="s">
        <v>78</v>
      </c>
      <c r="B66" s="48" t="s">
        <v>246</v>
      </c>
      <c r="C66" s="13" t="s">
        <v>16</v>
      </c>
      <c r="D66" s="14" t="s">
        <v>386</v>
      </c>
      <c r="E66" s="15">
        <v>28.83</v>
      </c>
      <c r="F66" s="13" t="s">
        <v>0</v>
      </c>
      <c r="G66" s="109"/>
      <c r="H66" s="16">
        <f t="shared" si="4"/>
        <v>0</v>
      </c>
      <c r="I66" s="16">
        <f t="shared" si="5"/>
        <v>0</v>
      </c>
    </row>
    <row r="67" spans="1:9" x14ac:dyDescent="0.25">
      <c r="A67" s="45"/>
      <c r="B67" s="8"/>
      <c r="C67" s="10"/>
      <c r="D67" s="6" t="s">
        <v>223</v>
      </c>
      <c r="E67" s="46">
        <v>0</v>
      </c>
      <c r="F67" s="10"/>
      <c r="G67" s="12"/>
      <c r="H67" s="12"/>
      <c r="I67" s="39">
        <f>SUBTOTAL(9,I68:I73)</f>
        <v>0</v>
      </c>
    </row>
    <row r="68" spans="1:9" ht="71.25" x14ac:dyDescent="0.25">
      <c r="A68" s="13" t="s">
        <v>79</v>
      </c>
      <c r="B68" s="48">
        <v>4911</v>
      </c>
      <c r="C68" s="13" t="s">
        <v>16</v>
      </c>
      <c r="D68" s="14" t="s">
        <v>398</v>
      </c>
      <c r="E68" s="15">
        <v>8.64</v>
      </c>
      <c r="F68" s="13" t="s">
        <v>0</v>
      </c>
      <c r="G68" s="109"/>
      <c r="H68" s="16">
        <f t="shared" ref="H68:H73" si="6">(G68*$I$8)+G68</f>
        <v>0</v>
      </c>
      <c r="I68" s="16">
        <f t="shared" ref="I68:I73" si="7">E68*H68</f>
        <v>0</v>
      </c>
    </row>
    <row r="69" spans="1:9" ht="28.5" x14ac:dyDescent="0.25">
      <c r="A69" s="13" t="s">
        <v>80</v>
      </c>
      <c r="B69" s="48">
        <v>42255</v>
      </c>
      <c r="C69" s="13" t="s">
        <v>16</v>
      </c>
      <c r="D69" s="14" t="s">
        <v>401</v>
      </c>
      <c r="E69" s="15">
        <v>1.68</v>
      </c>
      <c r="F69" s="13" t="s">
        <v>0</v>
      </c>
      <c r="G69" s="109"/>
      <c r="H69" s="16">
        <f t="shared" si="6"/>
        <v>0</v>
      </c>
      <c r="I69" s="16">
        <f t="shared" si="7"/>
        <v>0</v>
      </c>
    </row>
    <row r="70" spans="1:9" ht="99.75" x14ac:dyDescent="0.25">
      <c r="A70" s="13" t="s">
        <v>81</v>
      </c>
      <c r="B70" s="48" t="s">
        <v>315</v>
      </c>
      <c r="C70" s="13" t="s">
        <v>16</v>
      </c>
      <c r="D70" s="14" t="s">
        <v>316</v>
      </c>
      <c r="E70" s="15">
        <v>1.2</v>
      </c>
      <c r="F70" s="13" t="s">
        <v>0</v>
      </c>
      <c r="G70" s="109"/>
      <c r="H70" s="16">
        <f t="shared" si="6"/>
        <v>0</v>
      </c>
      <c r="I70" s="16">
        <f t="shared" si="7"/>
        <v>0</v>
      </c>
    </row>
    <row r="71" spans="1:9" ht="57" x14ac:dyDescent="0.25">
      <c r="A71" s="13" t="s">
        <v>82</v>
      </c>
      <c r="B71" s="48" t="s">
        <v>247</v>
      </c>
      <c r="C71" s="13" t="s">
        <v>16</v>
      </c>
      <c r="D71" s="14" t="s">
        <v>83</v>
      </c>
      <c r="E71" s="15">
        <v>1.2</v>
      </c>
      <c r="F71" s="13" t="s">
        <v>0</v>
      </c>
      <c r="G71" s="109"/>
      <c r="H71" s="16">
        <f t="shared" si="6"/>
        <v>0</v>
      </c>
      <c r="I71" s="16">
        <f t="shared" si="7"/>
        <v>0</v>
      </c>
    </row>
    <row r="72" spans="1:9" ht="57" x14ac:dyDescent="0.25">
      <c r="A72" s="13" t="s">
        <v>84</v>
      </c>
      <c r="B72" s="48" t="s">
        <v>248</v>
      </c>
      <c r="C72" s="13" t="s">
        <v>16</v>
      </c>
      <c r="D72" s="14" t="s">
        <v>317</v>
      </c>
      <c r="E72" s="15">
        <v>1.47</v>
      </c>
      <c r="F72" s="13" t="s">
        <v>0</v>
      </c>
      <c r="G72" s="109"/>
      <c r="H72" s="16">
        <f t="shared" si="6"/>
        <v>0</v>
      </c>
      <c r="I72" s="16">
        <f t="shared" si="7"/>
        <v>0</v>
      </c>
    </row>
    <row r="73" spans="1:9" ht="71.25" x14ac:dyDescent="0.25">
      <c r="A73" s="13" t="s">
        <v>85</v>
      </c>
      <c r="B73" s="48">
        <v>4922</v>
      </c>
      <c r="C73" s="13" t="s">
        <v>16</v>
      </c>
      <c r="D73" s="14" t="s">
        <v>86</v>
      </c>
      <c r="E73" s="15">
        <v>1.89</v>
      </c>
      <c r="F73" s="13" t="s">
        <v>0</v>
      </c>
      <c r="G73" s="109"/>
      <c r="H73" s="16">
        <f t="shared" si="6"/>
        <v>0</v>
      </c>
      <c r="I73" s="16">
        <f t="shared" si="7"/>
        <v>0</v>
      </c>
    </row>
    <row r="74" spans="1:9" x14ac:dyDescent="0.25">
      <c r="A74" s="45"/>
      <c r="B74" s="8"/>
      <c r="C74" s="10"/>
      <c r="D74" s="6" t="s">
        <v>249</v>
      </c>
      <c r="E74" s="46">
        <v>0</v>
      </c>
      <c r="F74" s="10"/>
      <c r="G74" s="12"/>
      <c r="H74" s="12"/>
      <c r="I74" s="39">
        <f>SUBTOTAL(9,I75)</f>
        <v>0</v>
      </c>
    </row>
    <row r="75" spans="1:9" ht="71.25" x14ac:dyDescent="0.25">
      <c r="A75" s="36" t="s">
        <v>87</v>
      </c>
      <c r="B75" s="47">
        <v>11795</v>
      </c>
      <c r="C75" s="13" t="s">
        <v>16</v>
      </c>
      <c r="D75" s="14" t="s">
        <v>88</v>
      </c>
      <c r="E75" s="15">
        <v>8.6300000000000008</v>
      </c>
      <c r="F75" s="13" t="s">
        <v>0</v>
      </c>
      <c r="G75" s="109"/>
      <c r="H75" s="16">
        <f>(G75*$I$8)+G75</f>
        <v>0</v>
      </c>
      <c r="I75" s="37">
        <f>E75*H75</f>
        <v>0</v>
      </c>
    </row>
    <row r="76" spans="1:9" x14ac:dyDescent="0.25">
      <c r="A76" s="45"/>
      <c r="B76" s="8"/>
      <c r="C76" s="10"/>
      <c r="D76" s="6" t="s">
        <v>234</v>
      </c>
      <c r="E76" s="46">
        <v>0</v>
      </c>
      <c r="F76" s="10"/>
      <c r="G76" s="12"/>
      <c r="H76" s="12"/>
      <c r="I76" s="39">
        <f>SUBTOTAL(9,I77:I98)</f>
        <v>0</v>
      </c>
    </row>
    <row r="77" spans="1:9" ht="42.75" x14ac:dyDescent="0.25">
      <c r="A77" s="13" t="s">
        <v>89</v>
      </c>
      <c r="B77" s="48">
        <v>1747</v>
      </c>
      <c r="C77" s="13" t="s">
        <v>16</v>
      </c>
      <c r="D77" s="14" t="s">
        <v>90</v>
      </c>
      <c r="E77" s="15">
        <v>2</v>
      </c>
      <c r="F77" s="13" t="s">
        <v>5</v>
      </c>
      <c r="G77" s="109"/>
      <c r="H77" s="16">
        <f t="shared" ref="H77:H98" si="8">(G77*$I$8)+G77</f>
        <v>0</v>
      </c>
      <c r="I77" s="16">
        <f t="shared" ref="I77:I98" si="9">E77*H77</f>
        <v>0</v>
      </c>
    </row>
    <row r="78" spans="1:9" ht="85.5" x14ac:dyDescent="0.25">
      <c r="A78" s="13" t="s">
        <v>91</v>
      </c>
      <c r="B78" s="48" t="s">
        <v>250</v>
      </c>
      <c r="C78" s="13" t="s">
        <v>16</v>
      </c>
      <c r="D78" s="14" t="s">
        <v>375</v>
      </c>
      <c r="E78" s="15">
        <v>1</v>
      </c>
      <c r="F78" s="13" t="s">
        <v>5</v>
      </c>
      <c r="G78" s="109"/>
      <c r="H78" s="16">
        <f t="shared" si="8"/>
        <v>0</v>
      </c>
      <c r="I78" s="16">
        <f t="shared" si="9"/>
        <v>0</v>
      </c>
    </row>
    <row r="79" spans="1:9" ht="57" x14ac:dyDescent="0.25">
      <c r="A79" s="13" t="s">
        <v>92</v>
      </c>
      <c r="B79" s="48" t="s">
        <v>251</v>
      </c>
      <c r="C79" s="13" t="s">
        <v>16</v>
      </c>
      <c r="D79" s="14" t="s">
        <v>365</v>
      </c>
      <c r="E79" s="15">
        <v>1</v>
      </c>
      <c r="F79" s="13" t="s">
        <v>5</v>
      </c>
      <c r="G79" s="109"/>
      <c r="H79" s="16">
        <f t="shared" si="8"/>
        <v>0</v>
      </c>
      <c r="I79" s="16">
        <f t="shared" si="9"/>
        <v>0</v>
      </c>
    </row>
    <row r="80" spans="1:9" ht="57" x14ac:dyDescent="0.25">
      <c r="A80" s="13" t="s">
        <v>93</v>
      </c>
      <c r="B80" s="48" t="s">
        <v>252</v>
      </c>
      <c r="C80" s="13" t="s">
        <v>16</v>
      </c>
      <c r="D80" s="14" t="s">
        <v>374</v>
      </c>
      <c r="E80" s="15">
        <v>1</v>
      </c>
      <c r="F80" s="13" t="s">
        <v>5</v>
      </c>
      <c r="G80" s="109"/>
      <c r="H80" s="16">
        <f t="shared" si="8"/>
        <v>0</v>
      </c>
      <c r="I80" s="16">
        <f t="shared" si="9"/>
        <v>0</v>
      </c>
    </row>
    <row r="81" spans="1:9" ht="71.25" x14ac:dyDescent="0.25">
      <c r="A81" s="13" t="s">
        <v>94</v>
      </c>
      <c r="B81" s="13" t="s">
        <v>372</v>
      </c>
      <c r="C81" s="13" t="s">
        <v>16</v>
      </c>
      <c r="D81" s="14" t="s">
        <v>373</v>
      </c>
      <c r="E81" s="15">
        <v>2</v>
      </c>
      <c r="F81" s="13" t="s">
        <v>5</v>
      </c>
      <c r="G81" s="109"/>
      <c r="H81" s="16">
        <f t="shared" si="8"/>
        <v>0</v>
      </c>
      <c r="I81" s="16">
        <f t="shared" si="9"/>
        <v>0</v>
      </c>
    </row>
    <row r="82" spans="1:9" ht="71.25" x14ac:dyDescent="0.25">
      <c r="A82" s="13" t="s">
        <v>95</v>
      </c>
      <c r="B82" s="13" t="s">
        <v>368</v>
      </c>
      <c r="C82" s="13" t="s">
        <v>16</v>
      </c>
      <c r="D82" s="14" t="s">
        <v>369</v>
      </c>
      <c r="E82" s="15">
        <v>1</v>
      </c>
      <c r="F82" s="13" t="s">
        <v>5</v>
      </c>
      <c r="G82" s="109"/>
      <c r="H82" s="16">
        <f t="shared" si="8"/>
        <v>0</v>
      </c>
      <c r="I82" s="16">
        <f t="shared" si="9"/>
        <v>0</v>
      </c>
    </row>
    <row r="83" spans="1:9" ht="57" x14ac:dyDescent="0.25">
      <c r="A83" s="13" t="s">
        <v>96</v>
      </c>
      <c r="B83" s="13" t="s">
        <v>370</v>
      </c>
      <c r="C83" s="13" t="s">
        <v>16</v>
      </c>
      <c r="D83" s="14" t="s">
        <v>371</v>
      </c>
      <c r="E83" s="15">
        <v>1</v>
      </c>
      <c r="F83" s="13" t="s">
        <v>5</v>
      </c>
      <c r="G83" s="109"/>
      <c r="H83" s="16">
        <f t="shared" si="8"/>
        <v>0</v>
      </c>
      <c r="I83" s="16">
        <f t="shared" si="9"/>
        <v>0</v>
      </c>
    </row>
    <row r="84" spans="1:9" ht="71.25" x14ac:dyDescent="0.25">
      <c r="A84" s="13" t="s">
        <v>97</v>
      </c>
      <c r="B84" s="13" t="s">
        <v>353</v>
      </c>
      <c r="C84" s="13" t="s">
        <v>16</v>
      </c>
      <c r="D84" s="14" t="s">
        <v>98</v>
      </c>
      <c r="E84" s="15">
        <v>24</v>
      </c>
      <c r="F84" s="13" t="s">
        <v>2</v>
      </c>
      <c r="G84" s="109"/>
      <c r="H84" s="16">
        <f t="shared" si="8"/>
        <v>0</v>
      </c>
      <c r="I84" s="16">
        <f t="shared" si="9"/>
        <v>0</v>
      </c>
    </row>
    <row r="85" spans="1:9" ht="71.25" x14ac:dyDescent="0.25">
      <c r="A85" s="13" t="s">
        <v>99</v>
      </c>
      <c r="B85" s="13" t="s">
        <v>376</v>
      </c>
      <c r="C85" s="13" t="s">
        <v>16</v>
      </c>
      <c r="D85" s="14" t="s">
        <v>408</v>
      </c>
      <c r="E85" s="15">
        <v>3</v>
      </c>
      <c r="F85" s="13" t="s">
        <v>5</v>
      </c>
      <c r="G85" s="109"/>
      <c r="H85" s="16">
        <f t="shared" si="8"/>
        <v>0</v>
      </c>
      <c r="I85" s="16">
        <f t="shared" si="9"/>
        <v>0</v>
      </c>
    </row>
    <row r="86" spans="1:9" ht="71.25" x14ac:dyDescent="0.25">
      <c r="A86" s="13" t="s">
        <v>100</v>
      </c>
      <c r="B86" s="13" t="s">
        <v>362</v>
      </c>
      <c r="C86" s="13" t="s">
        <v>16</v>
      </c>
      <c r="D86" s="14" t="s">
        <v>101</v>
      </c>
      <c r="E86" s="15">
        <v>5</v>
      </c>
      <c r="F86" s="13" t="s">
        <v>5</v>
      </c>
      <c r="G86" s="109"/>
      <c r="H86" s="16">
        <f t="shared" si="8"/>
        <v>0</v>
      </c>
      <c r="I86" s="16">
        <f t="shared" si="9"/>
        <v>0</v>
      </c>
    </row>
    <row r="87" spans="1:9" ht="57" x14ac:dyDescent="0.25">
      <c r="A87" s="13" t="s">
        <v>102</v>
      </c>
      <c r="B87" s="13" t="s">
        <v>358</v>
      </c>
      <c r="C87" s="13" t="s">
        <v>16</v>
      </c>
      <c r="D87" s="14" t="s">
        <v>103</v>
      </c>
      <c r="E87" s="15">
        <v>3</v>
      </c>
      <c r="F87" s="13" t="s">
        <v>5</v>
      </c>
      <c r="G87" s="109"/>
      <c r="H87" s="16">
        <f t="shared" si="8"/>
        <v>0</v>
      </c>
      <c r="I87" s="16">
        <f t="shared" si="9"/>
        <v>0</v>
      </c>
    </row>
    <row r="88" spans="1:9" ht="71.25" x14ac:dyDescent="0.25">
      <c r="A88" s="13" t="s">
        <v>104</v>
      </c>
      <c r="B88" s="13" t="s">
        <v>359</v>
      </c>
      <c r="C88" s="13" t="s">
        <v>16</v>
      </c>
      <c r="D88" s="14" t="s">
        <v>105</v>
      </c>
      <c r="E88" s="15">
        <v>5</v>
      </c>
      <c r="F88" s="13" t="s">
        <v>5</v>
      </c>
      <c r="G88" s="109"/>
      <c r="H88" s="16">
        <f t="shared" si="8"/>
        <v>0</v>
      </c>
      <c r="I88" s="16">
        <f t="shared" si="9"/>
        <v>0</v>
      </c>
    </row>
    <row r="89" spans="1:9" ht="57" x14ac:dyDescent="0.25">
      <c r="A89" s="13" t="s">
        <v>106</v>
      </c>
      <c r="B89" s="13" t="s">
        <v>377</v>
      </c>
      <c r="C89" s="13" t="s">
        <v>16</v>
      </c>
      <c r="D89" s="14" t="s">
        <v>409</v>
      </c>
      <c r="E89" s="15">
        <v>1</v>
      </c>
      <c r="F89" s="13" t="s">
        <v>5</v>
      </c>
      <c r="G89" s="109"/>
      <c r="H89" s="16">
        <f t="shared" si="8"/>
        <v>0</v>
      </c>
      <c r="I89" s="16">
        <f t="shared" si="9"/>
        <v>0</v>
      </c>
    </row>
    <row r="90" spans="1:9" ht="28.5" x14ac:dyDescent="0.25">
      <c r="A90" s="13" t="s">
        <v>107</v>
      </c>
      <c r="B90" s="13" t="s">
        <v>407</v>
      </c>
      <c r="C90" s="13" t="s">
        <v>411</v>
      </c>
      <c r="D90" s="14" t="s">
        <v>410</v>
      </c>
      <c r="E90" s="15">
        <v>1</v>
      </c>
      <c r="F90" s="13" t="s">
        <v>5</v>
      </c>
      <c r="G90" s="109"/>
      <c r="H90" s="16">
        <f t="shared" si="8"/>
        <v>0</v>
      </c>
      <c r="I90" s="16">
        <f t="shared" si="9"/>
        <v>0</v>
      </c>
    </row>
    <row r="91" spans="1:9" ht="57" x14ac:dyDescent="0.25">
      <c r="A91" s="13" t="s">
        <v>109</v>
      </c>
      <c r="B91" s="13" t="s">
        <v>363</v>
      </c>
      <c r="C91" s="13" t="s">
        <v>16</v>
      </c>
      <c r="D91" s="14" t="s">
        <v>110</v>
      </c>
      <c r="E91" s="15">
        <v>1</v>
      </c>
      <c r="F91" s="13" t="s">
        <v>5</v>
      </c>
      <c r="G91" s="109"/>
      <c r="H91" s="16">
        <f t="shared" si="8"/>
        <v>0</v>
      </c>
      <c r="I91" s="16">
        <f t="shared" si="9"/>
        <v>0</v>
      </c>
    </row>
    <row r="92" spans="1:9" ht="71.25" x14ac:dyDescent="0.25">
      <c r="A92" s="13" t="s">
        <v>111</v>
      </c>
      <c r="B92" s="13" t="s">
        <v>364</v>
      </c>
      <c r="C92" s="13" t="s">
        <v>16</v>
      </c>
      <c r="D92" s="14" t="s">
        <v>112</v>
      </c>
      <c r="E92" s="15">
        <v>2</v>
      </c>
      <c r="F92" s="13" t="s">
        <v>5</v>
      </c>
      <c r="G92" s="109"/>
      <c r="H92" s="16">
        <f t="shared" si="8"/>
        <v>0</v>
      </c>
      <c r="I92" s="16">
        <f t="shared" si="9"/>
        <v>0</v>
      </c>
    </row>
    <row r="93" spans="1:9" ht="42.75" x14ac:dyDescent="0.25">
      <c r="A93" s="13" t="s">
        <v>113</v>
      </c>
      <c r="B93" s="13" t="s">
        <v>366</v>
      </c>
      <c r="C93" s="13" t="s">
        <v>16</v>
      </c>
      <c r="D93" s="14" t="s">
        <v>367</v>
      </c>
      <c r="E93" s="15">
        <v>4</v>
      </c>
      <c r="F93" s="13" t="s">
        <v>5</v>
      </c>
      <c r="G93" s="109"/>
      <c r="H93" s="16">
        <f t="shared" si="8"/>
        <v>0</v>
      </c>
      <c r="I93" s="16">
        <f t="shared" si="9"/>
        <v>0</v>
      </c>
    </row>
    <row r="94" spans="1:9" ht="71.25" x14ac:dyDescent="0.25">
      <c r="A94" s="13" t="s">
        <v>114</v>
      </c>
      <c r="B94" s="13" t="s">
        <v>354</v>
      </c>
      <c r="C94" s="13" t="s">
        <v>16</v>
      </c>
      <c r="D94" s="14" t="s">
        <v>115</v>
      </c>
      <c r="E94" s="15">
        <v>2</v>
      </c>
      <c r="F94" s="13" t="s">
        <v>2</v>
      </c>
      <c r="G94" s="109"/>
      <c r="H94" s="16">
        <f t="shared" si="8"/>
        <v>0</v>
      </c>
      <c r="I94" s="16">
        <f t="shared" si="9"/>
        <v>0</v>
      </c>
    </row>
    <row r="95" spans="1:9" ht="71.25" x14ac:dyDescent="0.25">
      <c r="A95" s="13" t="s">
        <v>116</v>
      </c>
      <c r="B95" s="13" t="s">
        <v>355</v>
      </c>
      <c r="C95" s="13" t="s">
        <v>16</v>
      </c>
      <c r="D95" s="14" t="s">
        <v>117</v>
      </c>
      <c r="E95" s="15">
        <v>4</v>
      </c>
      <c r="F95" s="13" t="s">
        <v>2</v>
      </c>
      <c r="G95" s="109"/>
      <c r="H95" s="16">
        <f t="shared" si="8"/>
        <v>0</v>
      </c>
      <c r="I95" s="16">
        <f t="shared" si="9"/>
        <v>0</v>
      </c>
    </row>
    <row r="96" spans="1:9" ht="71.25" x14ac:dyDescent="0.25">
      <c r="A96" s="13" t="s">
        <v>118</v>
      </c>
      <c r="B96" s="13" t="s">
        <v>356</v>
      </c>
      <c r="C96" s="13" t="s">
        <v>16</v>
      </c>
      <c r="D96" s="14" t="s">
        <v>119</v>
      </c>
      <c r="E96" s="15">
        <v>8</v>
      </c>
      <c r="F96" s="13" t="s">
        <v>2</v>
      </c>
      <c r="G96" s="109"/>
      <c r="H96" s="16">
        <f t="shared" si="8"/>
        <v>0</v>
      </c>
      <c r="I96" s="16">
        <f t="shared" si="9"/>
        <v>0</v>
      </c>
    </row>
    <row r="97" spans="1:9" ht="71.25" x14ac:dyDescent="0.25">
      <c r="A97" s="13" t="s">
        <v>120</v>
      </c>
      <c r="B97" s="13" t="s">
        <v>357</v>
      </c>
      <c r="C97" s="13" t="s">
        <v>16</v>
      </c>
      <c r="D97" s="14" t="s">
        <v>121</v>
      </c>
      <c r="E97" s="15">
        <v>18</v>
      </c>
      <c r="F97" s="13" t="s">
        <v>2</v>
      </c>
      <c r="G97" s="109"/>
      <c r="H97" s="16">
        <f t="shared" si="8"/>
        <v>0</v>
      </c>
      <c r="I97" s="16">
        <f t="shared" si="9"/>
        <v>0</v>
      </c>
    </row>
    <row r="98" spans="1:9" ht="85.5" x14ac:dyDescent="0.25">
      <c r="A98" s="13" t="s">
        <v>122</v>
      </c>
      <c r="B98" s="13" t="s">
        <v>361</v>
      </c>
      <c r="C98" s="13" t="s">
        <v>16</v>
      </c>
      <c r="D98" s="14" t="s">
        <v>123</v>
      </c>
      <c r="E98" s="15">
        <v>5</v>
      </c>
      <c r="F98" s="13" t="s">
        <v>5</v>
      </c>
      <c r="G98" s="109"/>
      <c r="H98" s="16">
        <f t="shared" si="8"/>
        <v>0</v>
      </c>
      <c r="I98" s="16">
        <f t="shared" si="9"/>
        <v>0</v>
      </c>
    </row>
    <row r="99" spans="1:9" x14ac:dyDescent="0.25">
      <c r="A99" s="45"/>
      <c r="B99" s="8"/>
      <c r="C99" s="10"/>
      <c r="D99" s="6" t="s">
        <v>233</v>
      </c>
      <c r="E99" s="46">
        <v>0</v>
      </c>
      <c r="F99" s="10"/>
      <c r="G99" s="12"/>
      <c r="H99" s="12"/>
      <c r="I99" s="41">
        <f>SUBTOTAL(9,I100:I118)</f>
        <v>0</v>
      </c>
    </row>
    <row r="100" spans="1:9" ht="28.5" x14ac:dyDescent="0.25">
      <c r="A100" s="36" t="s">
        <v>124</v>
      </c>
      <c r="B100" s="13">
        <v>12373</v>
      </c>
      <c r="C100" s="13" t="s">
        <v>16</v>
      </c>
      <c r="D100" s="14" t="s">
        <v>399</v>
      </c>
      <c r="E100" s="15">
        <v>1</v>
      </c>
      <c r="F100" s="13" t="s">
        <v>5</v>
      </c>
      <c r="G100" s="109"/>
      <c r="H100" s="16">
        <f t="shared" ref="H100:H118" si="10">(G100*$I$8)+G100</f>
        <v>0</v>
      </c>
      <c r="I100" s="37">
        <f t="shared" ref="I100:I118" si="11">E100*H100</f>
        <v>0</v>
      </c>
    </row>
    <row r="101" spans="1:9" ht="85.5" x14ac:dyDescent="0.25">
      <c r="A101" s="36" t="s">
        <v>125</v>
      </c>
      <c r="B101" s="13" t="s">
        <v>349</v>
      </c>
      <c r="C101" s="13" t="s">
        <v>16</v>
      </c>
      <c r="D101" s="14" t="s">
        <v>350</v>
      </c>
      <c r="E101" s="15">
        <v>1</v>
      </c>
      <c r="F101" s="13" t="s">
        <v>5</v>
      </c>
      <c r="G101" s="109"/>
      <c r="H101" s="16">
        <f t="shared" si="10"/>
        <v>0</v>
      </c>
      <c r="I101" s="37">
        <f t="shared" si="11"/>
        <v>0</v>
      </c>
    </row>
    <row r="102" spans="1:9" ht="57" x14ac:dyDescent="0.25">
      <c r="A102" s="36" t="s">
        <v>126</v>
      </c>
      <c r="B102" s="13" t="s">
        <v>412</v>
      </c>
      <c r="C102" s="13" t="s">
        <v>16</v>
      </c>
      <c r="D102" s="14" t="s">
        <v>395</v>
      </c>
      <c r="E102" s="15">
        <v>2</v>
      </c>
      <c r="F102" s="13" t="s">
        <v>5</v>
      </c>
      <c r="G102" s="109"/>
      <c r="H102" s="16">
        <f t="shared" si="10"/>
        <v>0</v>
      </c>
      <c r="I102" s="37">
        <f t="shared" si="11"/>
        <v>0</v>
      </c>
    </row>
    <row r="103" spans="1:9" ht="42.75" x14ac:dyDescent="0.25">
      <c r="A103" s="36" t="s">
        <v>127</v>
      </c>
      <c r="B103" s="13" t="s">
        <v>351</v>
      </c>
      <c r="C103" s="13" t="s">
        <v>16</v>
      </c>
      <c r="D103" s="14" t="s">
        <v>352</v>
      </c>
      <c r="E103" s="15">
        <v>2</v>
      </c>
      <c r="F103" s="13" t="s">
        <v>5</v>
      </c>
      <c r="G103" s="109"/>
      <c r="H103" s="16">
        <f t="shared" si="10"/>
        <v>0</v>
      </c>
      <c r="I103" s="37">
        <f t="shared" si="11"/>
        <v>0</v>
      </c>
    </row>
    <row r="104" spans="1:9" ht="99.75" x14ac:dyDescent="0.25">
      <c r="A104" s="36" t="s">
        <v>128</v>
      </c>
      <c r="B104" s="13" t="s">
        <v>343</v>
      </c>
      <c r="C104" s="13" t="s">
        <v>16</v>
      </c>
      <c r="D104" s="14" t="s">
        <v>344</v>
      </c>
      <c r="E104" s="15">
        <v>1</v>
      </c>
      <c r="F104" s="13" t="s">
        <v>5</v>
      </c>
      <c r="G104" s="109"/>
      <c r="H104" s="16">
        <f t="shared" si="10"/>
        <v>0</v>
      </c>
      <c r="I104" s="37">
        <f t="shared" si="11"/>
        <v>0</v>
      </c>
    </row>
    <row r="105" spans="1:9" ht="42.75" x14ac:dyDescent="0.25">
      <c r="A105" s="36" t="s">
        <v>129</v>
      </c>
      <c r="B105" s="13" t="s">
        <v>413</v>
      </c>
      <c r="C105" s="13" t="s">
        <v>108</v>
      </c>
      <c r="D105" s="14" t="s">
        <v>130</v>
      </c>
      <c r="E105" s="15">
        <v>3</v>
      </c>
      <c r="F105" s="13" t="s">
        <v>5</v>
      </c>
      <c r="G105" s="109"/>
      <c r="H105" s="16">
        <f t="shared" si="10"/>
        <v>0</v>
      </c>
      <c r="I105" s="37">
        <f t="shared" si="11"/>
        <v>0</v>
      </c>
    </row>
    <row r="106" spans="1:9" ht="57" x14ac:dyDescent="0.25">
      <c r="A106" s="36" t="s">
        <v>131</v>
      </c>
      <c r="B106" s="13" t="s">
        <v>341</v>
      </c>
      <c r="C106" s="13" t="s">
        <v>16</v>
      </c>
      <c r="D106" s="14" t="s">
        <v>342</v>
      </c>
      <c r="E106" s="15">
        <v>2</v>
      </c>
      <c r="F106" s="13" t="s">
        <v>5</v>
      </c>
      <c r="G106" s="109"/>
      <c r="H106" s="16">
        <f t="shared" si="10"/>
        <v>0</v>
      </c>
      <c r="I106" s="37">
        <f t="shared" si="11"/>
        <v>0</v>
      </c>
    </row>
    <row r="107" spans="1:9" ht="57" x14ac:dyDescent="0.25">
      <c r="A107" s="36" t="s">
        <v>132</v>
      </c>
      <c r="B107" s="13" t="s">
        <v>339</v>
      </c>
      <c r="C107" s="13" t="s">
        <v>16</v>
      </c>
      <c r="D107" s="14" t="s">
        <v>340</v>
      </c>
      <c r="E107" s="15">
        <v>1</v>
      </c>
      <c r="F107" s="13" t="s">
        <v>5</v>
      </c>
      <c r="G107" s="109"/>
      <c r="H107" s="16">
        <f t="shared" si="10"/>
        <v>0</v>
      </c>
      <c r="I107" s="37">
        <f t="shared" si="11"/>
        <v>0</v>
      </c>
    </row>
    <row r="108" spans="1:9" ht="57" x14ac:dyDescent="0.25">
      <c r="A108" s="36" t="s">
        <v>133</v>
      </c>
      <c r="B108" s="13" t="s">
        <v>337</v>
      </c>
      <c r="C108" s="13" t="s">
        <v>16</v>
      </c>
      <c r="D108" s="14" t="s">
        <v>338</v>
      </c>
      <c r="E108" s="15">
        <v>4</v>
      </c>
      <c r="F108" s="13" t="s">
        <v>5</v>
      </c>
      <c r="G108" s="109"/>
      <c r="H108" s="16">
        <f t="shared" si="10"/>
        <v>0</v>
      </c>
      <c r="I108" s="37">
        <f t="shared" si="11"/>
        <v>0</v>
      </c>
    </row>
    <row r="109" spans="1:9" ht="57" x14ac:dyDescent="0.25">
      <c r="A109" s="36" t="s">
        <v>134</v>
      </c>
      <c r="B109" s="13" t="s">
        <v>335</v>
      </c>
      <c r="C109" s="13" t="s">
        <v>16</v>
      </c>
      <c r="D109" s="14" t="s">
        <v>336</v>
      </c>
      <c r="E109" s="15">
        <v>1</v>
      </c>
      <c r="F109" s="13" t="s">
        <v>5</v>
      </c>
      <c r="G109" s="109"/>
      <c r="H109" s="16">
        <f t="shared" si="10"/>
        <v>0</v>
      </c>
      <c r="I109" s="37">
        <f t="shared" si="11"/>
        <v>0</v>
      </c>
    </row>
    <row r="110" spans="1:9" ht="85.5" x14ac:dyDescent="0.25">
      <c r="A110" s="36" t="s">
        <v>135</v>
      </c>
      <c r="B110" s="13" t="s">
        <v>331</v>
      </c>
      <c r="C110" s="13" t="s">
        <v>16</v>
      </c>
      <c r="D110" s="14" t="s">
        <v>136</v>
      </c>
      <c r="E110" s="15">
        <v>84</v>
      </c>
      <c r="F110" s="13" t="s">
        <v>2</v>
      </c>
      <c r="G110" s="109"/>
      <c r="H110" s="16">
        <f t="shared" si="10"/>
        <v>0</v>
      </c>
      <c r="I110" s="37">
        <f t="shared" si="11"/>
        <v>0</v>
      </c>
    </row>
    <row r="111" spans="1:9" ht="71.25" x14ac:dyDescent="0.25">
      <c r="A111" s="36" t="s">
        <v>137</v>
      </c>
      <c r="B111" s="13" t="s">
        <v>333</v>
      </c>
      <c r="C111" s="13" t="s">
        <v>16</v>
      </c>
      <c r="D111" s="14" t="s">
        <v>138</v>
      </c>
      <c r="E111" s="15">
        <v>195</v>
      </c>
      <c r="F111" s="13" t="s">
        <v>2</v>
      </c>
      <c r="G111" s="109"/>
      <c r="H111" s="16">
        <f t="shared" si="10"/>
        <v>0</v>
      </c>
      <c r="I111" s="37">
        <f t="shared" si="11"/>
        <v>0</v>
      </c>
    </row>
    <row r="112" spans="1:9" ht="71.25" x14ac:dyDescent="0.25">
      <c r="A112" s="36" t="s">
        <v>139</v>
      </c>
      <c r="B112" s="13" t="s">
        <v>334</v>
      </c>
      <c r="C112" s="13" t="s">
        <v>16</v>
      </c>
      <c r="D112" s="14" t="s">
        <v>140</v>
      </c>
      <c r="E112" s="15">
        <v>75</v>
      </c>
      <c r="F112" s="13" t="s">
        <v>2</v>
      </c>
      <c r="G112" s="109"/>
      <c r="H112" s="16">
        <f t="shared" si="10"/>
        <v>0</v>
      </c>
      <c r="I112" s="37">
        <f t="shared" si="11"/>
        <v>0</v>
      </c>
    </row>
    <row r="113" spans="1:9" ht="71.25" x14ac:dyDescent="0.25">
      <c r="A113" s="36" t="s">
        <v>141</v>
      </c>
      <c r="B113" s="13" t="s">
        <v>414</v>
      </c>
      <c r="C113" s="13" t="s">
        <v>16</v>
      </c>
      <c r="D113" s="14" t="s">
        <v>142</v>
      </c>
      <c r="E113" s="15">
        <v>25</v>
      </c>
      <c r="F113" s="13" t="s">
        <v>2</v>
      </c>
      <c r="G113" s="109"/>
      <c r="H113" s="16">
        <f t="shared" si="10"/>
        <v>0</v>
      </c>
      <c r="I113" s="37">
        <f t="shared" si="11"/>
        <v>0</v>
      </c>
    </row>
    <row r="114" spans="1:9" ht="57" x14ac:dyDescent="0.25">
      <c r="A114" s="36" t="s">
        <v>143</v>
      </c>
      <c r="B114" s="13" t="s">
        <v>346</v>
      </c>
      <c r="C114" s="13" t="s">
        <v>16</v>
      </c>
      <c r="D114" s="14" t="s">
        <v>144</v>
      </c>
      <c r="E114" s="15">
        <v>13</v>
      </c>
      <c r="F114" s="13" t="s">
        <v>5</v>
      </c>
      <c r="G114" s="109"/>
      <c r="H114" s="16">
        <f t="shared" si="10"/>
        <v>0</v>
      </c>
      <c r="I114" s="37">
        <f t="shared" si="11"/>
        <v>0</v>
      </c>
    </row>
    <row r="115" spans="1:9" ht="57" x14ac:dyDescent="0.25">
      <c r="A115" s="36" t="s">
        <v>145</v>
      </c>
      <c r="B115" s="13" t="s">
        <v>345</v>
      </c>
      <c r="C115" s="13" t="s">
        <v>16</v>
      </c>
      <c r="D115" s="14" t="s">
        <v>146</v>
      </c>
      <c r="E115" s="15">
        <v>4</v>
      </c>
      <c r="F115" s="13" t="s">
        <v>5</v>
      </c>
      <c r="G115" s="109"/>
      <c r="H115" s="16">
        <f t="shared" si="10"/>
        <v>0</v>
      </c>
      <c r="I115" s="37">
        <f t="shared" si="11"/>
        <v>0</v>
      </c>
    </row>
    <row r="116" spans="1:9" ht="85.5" x14ac:dyDescent="0.25">
      <c r="A116" s="36" t="s">
        <v>147</v>
      </c>
      <c r="B116" s="13" t="s">
        <v>347</v>
      </c>
      <c r="C116" s="13" t="s">
        <v>16</v>
      </c>
      <c r="D116" s="14" t="s">
        <v>348</v>
      </c>
      <c r="E116" s="15">
        <v>13</v>
      </c>
      <c r="F116" s="13" t="s">
        <v>5</v>
      </c>
      <c r="G116" s="109"/>
      <c r="H116" s="16">
        <f t="shared" si="10"/>
        <v>0</v>
      </c>
      <c r="I116" s="37">
        <f t="shared" si="11"/>
        <v>0</v>
      </c>
    </row>
    <row r="117" spans="1:9" ht="42.75" x14ac:dyDescent="0.25">
      <c r="A117" s="36" t="s">
        <v>148</v>
      </c>
      <c r="B117" s="13" t="s">
        <v>415</v>
      </c>
      <c r="C117" s="13" t="s">
        <v>16</v>
      </c>
      <c r="D117" s="14" t="s">
        <v>149</v>
      </c>
      <c r="E117" s="15">
        <v>30</v>
      </c>
      <c r="F117" s="13" t="s">
        <v>5</v>
      </c>
      <c r="G117" s="109"/>
      <c r="H117" s="16">
        <f t="shared" si="10"/>
        <v>0</v>
      </c>
      <c r="I117" s="37">
        <f t="shared" si="11"/>
        <v>0</v>
      </c>
    </row>
    <row r="118" spans="1:9" ht="71.25" x14ac:dyDescent="0.25">
      <c r="A118" s="36" t="s">
        <v>150</v>
      </c>
      <c r="B118" s="13" t="s">
        <v>332</v>
      </c>
      <c r="C118" s="13" t="s">
        <v>16</v>
      </c>
      <c r="D118" s="14" t="s">
        <v>151</v>
      </c>
      <c r="E118" s="15">
        <v>100</v>
      </c>
      <c r="F118" s="13" t="s">
        <v>2</v>
      </c>
      <c r="G118" s="109"/>
      <c r="H118" s="16">
        <f t="shared" si="10"/>
        <v>0</v>
      </c>
      <c r="I118" s="37">
        <f t="shared" si="11"/>
        <v>0</v>
      </c>
    </row>
    <row r="119" spans="1:9" x14ac:dyDescent="0.25">
      <c r="A119" s="45"/>
      <c r="B119" s="8"/>
      <c r="C119" s="10"/>
      <c r="D119" s="6" t="s">
        <v>232</v>
      </c>
      <c r="E119" s="46">
        <v>0</v>
      </c>
      <c r="F119" s="10"/>
      <c r="G119" s="12"/>
      <c r="H119" s="12"/>
      <c r="I119" s="39">
        <f>SUBTOTAL(9,I120:I124)</f>
        <v>0</v>
      </c>
    </row>
    <row r="120" spans="1:9" ht="28.5" x14ac:dyDescent="0.25">
      <c r="A120" s="40">
        <v>2100</v>
      </c>
      <c r="B120" s="47" t="s">
        <v>416</v>
      </c>
      <c r="C120" s="13" t="s">
        <v>411</v>
      </c>
      <c r="D120" s="14" t="s">
        <v>418</v>
      </c>
      <c r="E120" s="15">
        <v>5</v>
      </c>
      <c r="F120" s="13" t="s">
        <v>5</v>
      </c>
      <c r="G120" s="109"/>
      <c r="H120" s="16">
        <f>(G120*$I$8)+G120</f>
        <v>0</v>
      </c>
      <c r="I120" s="37">
        <f>E120*H120</f>
        <v>0</v>
      </c>
    </row>
    <row r="121" spans="1:9" ht="57" x14ac:dyDescent="0.25">
      <c r="A121" s="40">
        <v>2101</v>
      </c>
      <c r="B121" s="47" t="s">
        <v>229</v>
      </c>
      <c r="C121" s="13" t="s">
        <v>16</v>
      </c>
      <c r="D121" s="14" t="s">
        <v>152</v>
      </c>
      <c r="E121" s="15">
        <v>36</v>
      </c>
      <c r="F121" s="13" t="s">
        <v>2</v>
      </c>
      <c r="G121" s="109"/>
      <c r="H121" s="16">
        <f>(G121*$I$8)+G121</f>
        <v>0</v>
      </c>
      <c r="I121" s="37">
        <f>E121*H121</f>
        <v>0</v>
      </c>
    </row>
    <row r="122" spans="1:9" ht="57" x14ac:dyDescent="0.25">
      <c r="A122" s="40">
        <v>2102</v>
      </c>
      <c r="B122" s="47" t="s">
        <v>231</v>
      </c>
      <c r="C122" s="13" t="s">
        <v>16</v>
      </c>
      <c r="D122" s="14" t="s">
        <v>419</v>
      </c>
      <c r="E122" s="15">
        <v>5</v>
      </c>
      <c r="F122" s="13" t="s">
        <v>5</v>
      </c>
      <c r="G122" s="109"/>
      <c r="H122" s="16">
        <f>(G122*$I$8)+G122</f>
        <v>0</v>
      </c>
      <c r="I122" s="37">
        <f>E122*H122</f>
        <v>0</v>
      </c>
    </row>
    <row r="123" spans="1:9" x14ac:dyDescent="0.25">
      <c r="A123" s="40">
        <v>2103</v>
      </c>
      <c r="B123" s="47" t="s">
        <v>417</v>
      </c>
      <c r="C123" s="13" t="s">
        <v>411</v>
      </c>
      <c r="D123" s="14" t="s">
        <v>420</v>
      </c>
      <c r="E123" s="15">
        <v>5</v>
      </c>
      <c r="F123" s="13" t="s">
        <v>5</v>
      </c>
      <c r="G123" s="109"/>
      <c r="H123" s="16">
        <f>(G123*$I$8)+G123</f>
        <v>0</v>
      </c>
      <c r="I123" s="37">
        <f>E123*H123</f>
        <v>0</v>
      </c>
    </row>
    <row r="124" spans="1:9" ht="42.75" x14ac:dyDescent="0.25">
      <c r="A124" s="40">
        <v>2104</v>
      </c>
      <c r="B124" s="47" t="s">
        <v>230</v>
      </c>
      <c r="C124" s="13" t="s">
        <v>16</v>
      </c>
      <c r="D124" s="14" t="s">
        <v>393</v>
      </c>
      <c r="E124" s="15">
        <v>41.35</v>
      </c>
      <c r="F124" s="13" t="s">
        <v>2</v>
      </c>
      <c r="G124" s="109"/>
      <c r="H124" s="16">
        <f>(G124*$I$8)+G124</f>
        <v>0</v>
      </c>
      <c r="I124" s="37">
        <f>E124*H124</f>
        <v>0</v>
      </c>
    </row>
    <row r="125" spans="1:9" x14ac:dyDescent="0.25">
      <c r="A125" s="45"/>
      <c r="B125" s="8"/>
      <c r="C125" s="10"/>
      <c r="D125" s="6" t="s">
        <v>227</v>
      </c>
      <c r="E125" s="46">
        <v>0</v>
      </c>
      <c r="F125" s="10"/>
      <c r="G125" s="12"/>
      <c r="H125" s="12"/>
      <c r="I125" s="39">
        <f>SUBTOTAL(9,I126)</f>
        <v>0</v>
      </c>
    </row>
    <row r="126" spans="1:9" x14ac:dyDescent="0.25">
      <c r="A126" s="40">
        <v>2105</v>
      </c>
      <c r="B126" s="47" t="s">
        <v>421</v>
      </c>
      <c r="C126" s="13" t="s">
        <v>411</v>
      </c>
      <c r="D126" s="14" t="s">
        <v>422</v>
      </c>
      <c r="E126" s="15">
        <v>1.2</v>
      </c>
      <c r="F126" s="13" t="s">
        <v>0</v>
      </c>
      <c r="G126" s="109"/>
      <c r="H126" s="16">
        <f>(G126*$I$8)+G126</f>
        <v>0</v>
      </c>
      <c r="I126" s="37">
        <f>E126*H126</f>
        <v>0</v>
      </c>
    </row>
    <row r="127" spans="1:9" x14ac:dyDescent="0.25">
      <c r="A127" s="45"/>
      <c r="B127" s="8"/>
      <c r="C127" s="10"/>
      <c r="D127" s="6" t="s">
        <v>226</v>
      </c>
      <c r="E127" s="46">
        <v>0</v>
      </c>
      <c r="F127" s="10"/>
      <c r="G127" s="12"/>
      <c r="H127" s="12"/>
      <c r="I127" s="39">
        <f>SUBTOTAL(9,I128:I130)</f>
        <v>0</v>
      </c>
    </row>
    <row r="128" spans="1:9" ht="85.5" x14ac:dyDescent="0.25">
      <c r="A128" s="40">
        <v>2106</v>
      </c>
      <c r="B128" s="47" t="s">
        <v>382</v>
      </c>
      <c r="C128" s="13" t="s">
        <v>16</v>
      </c>
      <c r="D128" s="14" t="s">
        <v>383</v>
      </c>
      <c r="E128" s="15">
        <v>2.88</v>
      </c>
      <c r="F128" s="13" t="s">
        <v>0</v>
      </c>
      <c r="G128" s="109"/>
      <c r="H128" s="16">
        <f>(G128*$I$8)+G128</f>
        <v>0</v>
      </c>
      <c r="I128" s="37">
        <f>E128*H128</f>
        <v>0</v>
      </c>
    </row>
    <row r="129" spans="1:9" ht="42.75" x14ac:dyDescent="0.25">
      <c r="A129" s="40">
        <v>2107</v>
      </c>
      <c r="B129" s="47" t="s">
        <v>228</v>
      </c>
      <c r="C129" s="13" t="s">
        <v>16</v>
      </c>
      <c r="D129" s="14" t="s">
        <v>153</v>
      </c>
      <c r="E129" s="15">
        <v>26.21</v>
      </c>
      <c r="F129" s="13" t="s">
        <v>0</v>
      </c>
      <c r="G129" s="109"/>
      <c r="H129" s="16">
        <f>(G129*$I$8)+G129</f>
        <v>0</v>
      </c>
      <c r="I129" s="37">
        <f>E129*H129</f>
        <v>0</v>
      </c>
    </row>
    <row r="130" spans="1:9" ht="57" x14ac:dyDescent="0.25">
      <c r="A130" s="40">
        <v>2108</v>
      </c>
      <c r="B130" s="47" t="s">
        <v>384</v>
      </c>
      <c r="C130" s="13" t="s">
        <v>16</v>
      </c>
      <c r="D130" s="14" t="s">
        <v>385</v>
      </c>
      <c r="E130" s="15">
        <v>14.5</v>
      </c>
      <c r="F130" s="13" t="s">
        <v>0</v>
      </c>
      <c r="G130" s="109"/>
      <c r="H130" s="16">
        <f>(G130*$I$8)+G130</f>
        <v>0</v>
      </c>
      <c r="I130" s="37">
        <f>E130*H130</f>
        <v>0</v>
      </c>
    </row>
    <row r="131" spans="1:9" x14ac:dyDescent="0.25">
      <c r="A131" s="45"/>
      <c r="B131" s="8"/>
      <c r="C131" s="10"/>
      <c r="D131" s="6" t="s">
        <v>225</v>
      </c>
      <c r="E131" s="46">
        <v>0</v>
      </c>
      <c r="F131" s="10"/>
      <c r="G131" s="12"/>
      <c r="H131" s="12"/>
      <c r="I131" s="39">
        <f>SUBTOTAL(9,I132)</f>
        <v>0</v>
      </c>
    </row>
    <row r="132" spans="1:9" ht="28.5" x14ac:dyDescent="0.25">
      <c r="A132" s="40">
        <v>2109</v>
      </c>
      <c r="B132" s="47" t="s">
        <v>224</v>
      </c>
      <c r="C132" s="13" t="s">
        <v>16</v>
      </c>
      <c r="D132" s="14" t="s">
        <v>394</v>
      </c>
      <c r="E132" s="15">
        <v>55.05</v>
      </c>
      <c r="F132" s="13" t="s">
        <v>0</v>
      </c>
      <c r="G132" s="109"/>
      <c r="H132" s="16">
        <f>(G132*$I$8)+G132</f>
        <v>0</v>
      </c>
      <c r="I132" s="37">
        <f>E132*H132</f>
        <v>0</v>
      </c>
    </row>
    <row r="133" spans="1:9" x14ac:dyDescent="0.25">
      <c r="A133" s="38">
        <v>3</v>
      </c>
      <c r="B133" s="7"/>
      <c r="C133" s="8"/>
      <c r="D133" s="6" t="s">
        <v>154</v>
      </c>
      <c r="E133" s="9">
        <v>0</v>
      </c>
      <c r="F133" s="10"/>
      <c r="G133" s="11"/>
      <c r="H133" s="11"/>
      <c r="I133" s="39">
        <f>SUBTOTAL(9,I135:I143)</f>
        <v>0</v>
      </c>
    </row>
    <row r="134" spans="1:9" x14ac:dyDescent="0.25">
      <c r="A134" s="49"/>
      <c r="B134" s="44"/>
      <c r="C134" s="50"/>
      <c r="D134" s="50" t="s">
        <v>198</v>
      </c>
      <c r="E134" s="18">
        <v>0</v>
      </c>
      <c r="F134" s="17"/>
      <c r="G134" s="19"/>
      <c r="H134" s="19"/>
      <c r="I134" s="51">
        <f>SUBTOTAL(9,I135)</f>
        <v>0</v>
      </c>
    </row>
    <row r="135" spans="1:9" ht="28.5" x14ac:dyDescent="0.25">
      <c r="A135" s="13" t="s">
        <v>155</v>
      </c>
      <c r="B135" s="48">
        <v>99064</v>
      </c>
      <c r="C135" s="13" t="s">
        <v>16</v>
      </c>
      <c r="D135" s="14" t="s">
        <v>156</v>
      </c>
      <c r="E135" s="15">
        <v>524.71</v>
      </c>
      <c r="F135" s="13" t="s">
        <v>2</v>
      </c>
      <c r="G135" s="109"/>
      <c r="H135" s="16">
        <f>(G135*$I$8)+G135</f>
        <v>0</v>
      </c>
      <c r="I135" s="16">
        <f>E135*H135</f>
        <v>0</v>
      </c>
    </row>
    <row r="136" spans="1:9" x14ac:dyDescent="0.25">
      <c r="A136" s="49"/>
      <c r="B136" s="44"/>
      <c r="C136" s="50"/>
      <c r="D136" s="50" t="s">
        <v>429</v>
      </c>
      <c r="E136" s="18">
        <v>0</v>
      </c>
      <c r="F136" s="17"/>
      <c r="G136" s="19"/>
      <c r="H136" s="19"/>
      <c r="I136" s="51">
        <f>SUBTOTAL(9,I137:I139)</f>
        <v>0</v>
      </c>
    </row>
    <row r="137" spans="1:9" ht="71.25" x14ac:dyDescent="0.25">
      <c r="A137" s="13" t="s">
        <v>157</v>
      </c>
      <c r="B137" s="48" t="s">
        <v>378</v>
      </c>
      <c r="C137" s="13" t="s">
        <v>16</v>
      </c>
      <c r="D137" s="14" t="s">
        <v>379</v>
      </c>
      <c r="E137" s="15">
        <v>524.71</v>
      </c>
      <c r="F137" s="13" t="s">
        <v>3</v>
      </c>
      <c r="G137" s="109"/>
      <c r="H137" s="16">
        <f>(G137*$I$8)+G137</f>
        <v>0</v>
      </c>
      <c r="I137" s="16">
        <f>E137*H137</f>
        <v>0</v>
      </c>
    </row>
    <row r="138" spans="1:9" ht="71.25" x14ac:dyDescent="0.25">
      <c r="A138" s="13" t="s">
        <v>158</v>
      </c>
      <c r="B138" s="48" t="s">
        <v>321</v>
      </c>
      <c r="C138" s="13" t="s">
        <v>16</v>
      </c>
      <c r="D138" s="14" t="s">
        <v>430</v>
      </c>
      <c r="E138" s="15">
        <v>524.71</v>
      </c>
      <c r="F138" s="13" t="s">
        <v>0</v>
      </c>
      <c r="G138" s="109"/>
      <c r="H138" s="16">
        <f>(G138*$I$8)+G138</f>
        <v>0</v>
      </c>
      <c r="I138" s="16">
        <f>E138*H138</f>
        <v>0</v>
      </c>
    </row>
    <row r="139" spans="1:9" ht="114" x14ac:dyDescent="0.25">
      <c r="A139" s="13" t="s">
        <v>159</v>
      </c>
      <c r="B139" s="48" t="s">
        <v>235</v>
      </c>
      <c r="C139" s="13" t="s">
        <v>16</v>
      </c>
      <c r="D139" s="14" t="s">
        <v>160</v>
      </c>
      <c r="E139" s="15">
        <v>340.58</v>
      </c>
      <c r="F139" s="13" t="s">
        <v>2</v>
      </c>
      <c r="G139" s="109"/>
      <c r="H139" s="16">
        <f>(G139*$I$8)+G139</f>
        <v>0</v>
      </c>
      <c r="I139" s="16">
        <f>E139*H139</f>
        <v>0</v>
      </c>
    </row>
    <row r="140" spans="1:9" x14ac:dyDescent="0.25">
      <c r="A140" s="45"/>
      <c r="B140" s="8"/>
      <c r="C140" s="10"/>
      <c r="D140" s="6" t="s">
        <v>428</v>
      </c>
      <c r="E140" s="46">
        <v>0</v>
      </c>
      <c r="F140" s="10"/>
      <c r="G140" s="12"/>
      <c r="H140" s="12"/>
      <c r="I140" s="39">
        <f>SUBTOTAL(9,I141:I143)</f>
        <v>0</v>
      </c>
    </row>
    <row r="141" spans="1:9" ht="71.25" x14ac:dyDescent="0.25">
      <c r="A141" s="13" t="s">
        <v>161</v>
      </c>
      <c r="B141" s="48" t="s">
        <v>236</v>
      </c>
      <c r="C141" s="13" t="s">
        <v>16</v>
      </c>
      <c r="D141" s="14" t="s">
        <v>162</v>
      </c>
      <c r="E141" s="15">
        <v>78.709999999999994</v>
      </c>
      <c r="F141" s="13" t="s">
        <v>3</v>
      </c>
      <c r="G141" s="109"/>
      <c r="H141" s="16">
        <f>(G141*$I$8)+G141</f>
        <v>0</v>
      </c>
      <c r="I141" s="16">
        <f>E141*H141</f>
        <v>0</v>
      </c>
    </row>
    <row r="142" spans="1:9" ht="71.25" x14ac:dyDescent="0.25">
      <c r="A142" s="13" t="s">
        <v>163</v>
      </c>
      <c r="B142" s="48" t="s">
        <v>388</v>
      </c>
      <c r="C142" s="13" t="s">
        <v>16</v>
      </c>
      <c r="D142" s="14" t="s">
        <v>389</v>
      </c>
      <c r="E142" s="15">
        <v>102.32</v>
      </c>
      <c r="F142" s="13" t="s">
        <v>6</v>
      </c>
      <c r="G142" s="109"/>
      <c r="H142" s="16">
        <f>(G142*$I$8)+G142</f>
        <v>0</v>
      </c>
      <c r="I142" s="16">
        <f>E142*H142</f>
        <v>0</v>
      </c>
    </row>
    <row r="143" spans="1:9" ht="57" x14ac:dyDescent="0.25">
      <c r="A143" s="13" t="s">
        <v>164</v>
      </c>
      <c r="B143" s="48" t="s">
        <v>237</v>
      </c>
      <c r="C143" s="13" t="s">
        <v>16</v>
      </c>
      <c r="D143" s="14" t="s">
        <v>165</v>
      </c>
      <c r="E143" s="15">
        <v>524.71</v>
      </c>
      <c r="F143" s="13" t="s">
        <v>0</v>
      </c>
      <c r="G143" s="109"/>
      <c r="H143" s="16">
        <f>(G143*$I$8)+G143</f>
        <v>0</v>
      </c>
      <c r="I143" s="16">
        <f>E143*H143</f>
        <v>0</v>
      </c>
    </row>
    <row r="144" spans="1:9" x14ac:dyDescent="0.25">
      <c r="A144" s="38">
        <v>4</v>
      </c>
      <c r="B144" s="7"/>
      <c r="C144" s="8"/>
      <c r="D144" s="6" t="s">
        <v>166</v>
      </c>
      <c r="E144" s="9">
        <v>0</v>
      </c>
      <c r="F144" s="10"/>
      <c r="G144" s="11"/>
      <c r="H144" s="11"/>
      <c r="I144" s="39">
        <f>SUBTOTAL(9,I145:I151)</f>
        <v>0</v>
      </c>
    </row>
    <row r="145" spans="1:9" ht="99.75" x14ac:dyDescent="0.25">
      <c r="A145" s="36" t="s">
        <v>167</v>
      </c>
      <c r="B145" s="47" t="s">
        <v>311</v>
      </c>
      <c r="C145" s="13" t="s">
        <v>16</v>
      </c>
      <c r="D145" s="14" t="s">
        <v>312</v>
      </c>
      <c r="E145" s="15">
        <v>12</v>
      </c>
      <c r="F145" s="13" t="s">
        <v>2</v>
      </c>
      <c r="G145" s="109"/>
      <c r="H145" s="16">
        <f t="shared" ref="H145:H151" si="12">(G145*$I$8)+G145</f>
        <v>0</v>
      </c>
      <c r="I145" s="37">
        <f t="shared" ref="I145:I151" si="13">E145*H145</f>
        <v>0</v>
      </c>
    </row>
    <row r="146" spans="1:9" ht="128.25" x14ac:dyDescent="0.25">
      <c r="A146" s="36" t="s">
        <v>169</v>
      </c>
      <c r="B146" s="47" t="s">
        <v>238</v>
      </c>
      <c r="C146" s="13" t="s">
        <v>16</v>
      </c>
      <c r="D146" s="14" t="s">
        <v>427</v>
      </c>
      <c r="E146" s="15">
        <v>7.2</v>
      </c>
      <c r="F146" s="13" t="s">
        <v>3</v>
      </c>
      <c r="G146" s="109"/>
      <c r="H146" s="16">
        <f t="shared" si="12"/>
        <v>0</v>
      </c>
      <c r="I146" s="37">
        <f t="shared" si="13"/>
        <v>0</v>
      </c>
    </row>
    <row r="147" spans="1:9" ht="128.25" x14ac:dyDescent="0.25">
      <c r="A147" s="36" t="s">
        <v>170</v>
      </c>
      <c r="B147" s="47" t="s">
        <v>239</v>
      </c>
      <c r="C147" s="13" t="s">
        <v>16</v>
      </c>
      <c r="D147" s="14" t="s">
        <v>171</v>
      </c>
      <c r="E147" s="15">
        <v>3.5</v>
      </c>
      <c r="F147" s="13" t="s">
        <v>3</v>
      </c>
      <c r="G147" s="109"/>
      <c r="H147" s="16">
        <f t="shared" si="12"/>
        <v>0</v>
      </c>
      <c r="I147" s="37">
        <f t="shared" si="13"/>
        <v>0</v>
      </c>
    </row>
    <row r="148" spans="1:9" ht="99.75" x14ac:dyDescent="0.25">
      <c r="A148" s="36" t="s">
        <v>172</v>
      </c>
      <c r="B148" s="47" t="s">
        <v>240</v>
      </c>
      <c r="C148" s="13" t="s">
        <v>16</v>
      </c>
      <c r="D148" s="14" t="s">
        <v>168</v>
      </c>
      <c r="E148" s="15">
        <v>41</v>
      </c>
      <c r="F148" s="13" t="s">
        <v>2</v>
      </c>
      <c r="G148" s="109"/>
      <c r="H148" s="16">
        <f t="shared" si="12"/>
        <v>0</v>
      </c>
      <c r="I148" s="37">
        <f t="shared" si="13"/>
        <v>0</v>
      </c>
    </row>
    <row r="149" spans="1:9" ht="128.25" x14ac:dyDescent="0.25">
      <c r="A149" s="36" t="s">
        <v>173</v>
      </c>
      <c r="B149" s="47" t="s">
        <v>238</v>
      </c>
      <c r="C149" s="13" t="s">
        <v>16</v>
      </c>
      <c r="D149" s="14" t="s">
        <v>427</v>
      </c>
      <c r="E149" s="15">
        <v>73.8</v>
      </c>
      <c r="F149" s="13" t="s">
        <v>3</v>
      </c>
      <c r="G149" s="109"/>
      <c r="H149" s="16">
        <f t="shared" si="12"/>
        <v>0</v>
      </c>
      <c r="I149" s="37">
        <f t="shared" si="13"/>
        <v>0</v>
      </c>
    </row>
    <row r="150" spans="1:9" ht="128.25" x14ac:dyDescent="0.25">
      <c r="A150" s="36" t="s">
        <v>174</v>
      </c>
      <c r="B150" s="47" t="s">
        <v>239</v>
      </c>
      <c r="C150" s="13" t="s">
        <v>16</v>
      </c>
      <c r="D150" s="14" t="s">
        <v>171</v>
      </c>
      <c r="E150" s="15">
        <v>22.14</v>
      </c>
      <c r="F150" s="13" t="s">
        <v>3</v>
      </c>
      <c r="G150" s="109"/>
      <c r="H150" s="16">
        <f t="shared" si="12"/>
        <v>0</v>
      </c>
      <c r="I150" s="37">
        <f t="shared" si="13"/>
        <v>0</v>
      </c>
    </row>
    <row r="151" spans="1:9" ht="85.5" x14ac:dyDescent="0.25">
      <c r="A151" s="36" t="s">
        <v>175</v>
      </c>
      <c r="B151" s="47" t="s">
        <v>313</v>
      </c>
      <c r="C151" s="13" t="s">
        <v>16</v>
      </c>
      <c r="D151" s="14" t="s">
        <v>314</v>
      </c>
      <c r="E151" s="15">
        <v>3</v>
      </c>
      <c r="F151" s="13" t="s">
        <v>5</v>
      </c>
      <c r="G151" s="109"/>
      <c r="H151" s="16">
        <f t="shared" si="12"/>
        <v>0</v>
      </c>
      <c r="I151" s="37">
        <f t="shared" si="13"/>
        <v>0</v>
      </c>
    </row>
    <row r="152" spans="1:9" x14ac:dyDescent="0.25">
      <c r="A152" s="38">
        <v>5</v>
      </c>
      <c r="B152" s="7"/>
      <c r="C152" s="8"/>
      <c r="D152" s="6" t="s">
        <v>176</v>
      </c>
      <c r="E152" s="9">
        <v>0</v>
      </c>
      <c r="F152" s="10"/>
      <c r="G152" s="11"/>
      <c r="H152" s="11"/>
      <c r="I152" s="39">
        <f>SUBTOTAL(9,I153:I156)</f>
        <v>0</v>
      </c>
    </row>
    <row r="153" spans="1:9" x14ac:dyDescent="0.25">
      <c r="A153" s="36" t="s">
        <v>177</v>
      </c>
      <c r="B153" s="47" t="s">
        <v>423</v>
      </c>
      <c r="C153" s="13" t="s">
        <v>411</v>
      </c>
      <c r="D153" s="14" t="s">
        <v>425</v>
      </c>
      <c r="E153" s="15">
        <v>63.25</v>
      </c>
      <c r="F153" s="13" t="s">
        <v>3</v>
      </c>
      <c r="G153" s="109"/>
      <c r="H153" s="16">
        <f>(G153*$I$8)+G153</f>
        <v>0</v>
      </c>
      <c r="I153" s="37">
        <f>E153*H153</f>
        <v>0</v>
      </c>
    </row>
    <row r="154" spans="1:9" ht="28.5" x14ac:dyDescent="0.25">
      <c r="A154" s="36" t="s">
        <v>178</v>
      </c>
      <c r="B154" s="47" t="s">
        <v>424</v>
      </c>
      <c r="C154" s="13" t="s">
        <v>411</v>
      </c>
      <c r="D154" s="14" t="s">
        <v>426</v>
      </c>
      <c r="E154" s="15">
        <v>2473</v>
      </c>
      <c r="F154" s="13" t="s">
        <v>0</v>
      </c>
      <c r="G154" s="109"/>
      <c r="H154" s="16">
        <f>(G154*$I$8)+G154</f>
        <v>0</v>
      </c>
      <c r="I154" s="37">
        <f>E154*H154</f>
        <v>0</v>
      </c>
    </row>
    <row r="155" spans="1:9" ht="28.5" x14ac:dyDescent="0.25">
      <c r="A155" s="36" t="s">
        <v>179</v>
      </c>
      <c r="B155" s="47" t="s">
        <v>392</v>
      </c>
      <c r="C155" s="13" t="s">
        <v>16</v>
      </c>
      <c r="D155" s="14" t="s">
        <v>180</v>
      </c>
      <c r="E155" s="15">
        <v>2473</v>
      </c>
      <c r="F155" s="13" t="s">
        <v>0</v>
      </c>
      <c r="G155" s="109"/>
      <c r="H155" s="16">
        <f>(G155*$I$8)+G155</f>
        <v>0</v>
      </c>
      <c r="I155" s="37">
        <f>E155*H155</f>
        <v>0</v>
      </c>
    </row>
    <row r="156" spans="1:9" ht="57" x14ac:dyDescent="0.25">
      <c r="A156" s="36" t="s">
        <v>181</v>
      </c>
      <c r="B156" s="47" t="s">
        <v>390</v>
      </c>
      <c r="C156" s="13" t="s">
        <v>16</v>
      </c>
      <c r="D156" s="14" t="s">
        <v>391</v>
      </c>
      <c r="E156" s="15">
        <v>100</v>
      </c>
      <c r="F156" s="13" t="s">
        <v>5</v>
      </c>
      <c r="G156" s="109"/>
      <c r="H156" s="16">
        <f>(G156*$I$8)+G156</f>
        <v>0</v>
      </c>
      <c r="I156" s="37">
        <f>E156*H156</f>
        <v>0</v>
      </c>
    </row>
    <row r="157" spans="1:9" x14ac:dyDescent="0.25">
      <c r="A157" s="38">
        <v>6</v>
      </c>
      <c r="B157" s="7"/>
      <c r="C157" s="8"/>
      <c r="D157" s="6" t="s">
        <v>182</v>
      </c>
      <c r="E157" s="9">
        <v>0</v>
      </c>
      <c r="F157" s="10"/>
      <c r="G157" s="11"/>
      <c r="H157" s="11"/>
      <c r="I157" s="39">
        <f>SUBTOTAL(9,I158:I162)</f>
        <v>0</v>
      </c>
    </row>
    <row r="158" spans="1:9" ht="99.75" x14ac:dyDescent="0.25">
      <c r="A158" s="13" t="s">
        <v>183</v>
      </c>
      <c r="B158" s="48">
        <v>89487</v>
      </c>
      <c r="C158" s="13" t="s">
        <v>16</v>
      </c>
      <c r="D158" s="14" t="s">
        <v>184</v>
      </c>
      <c r="E158" s="15">
        <v>9.6</v>
      </c>
      <c r="F158" s="13" t="s">
        <v>0</v>
      </c>
      <c r="G158" s="109"/>
      <c r="H158" s="16">
        <f>(G158*$I$8)+G158</f>
        <v>0</v>
      </c>
      <c r="I158" s="16">
        <f>E158*H158</f>
        <v>0</v>
      </c>
    </row>
    <row r="159" spans="1:9" ht="28.5" x14ac:dyDescent="0.25">
      <c r="A159" s="13" t="s">
        <v>185</v>
      </c>
      <c r="B159" s="48">
        <v>89993</v>
      </c>
      <c r="C159" s="13" t="s">
        <v>16</v>
      </c>
      <c r="D159" s="14" t="s">
        <v>186</v>
      </c>
      <c r="E159" s="15">
        <v>0.5</v>
      </c>
      <c r="F159" s="13" t="s">
        <v>3</v>
      </c>
      <c r="G159" s="109"/>
      <c r="H159" s="16">
        <f>(G159*$I$8)+G159</f>
        <v>0</v>
      </c>
      <c r="I159" s="16">
        <f>E159*H159</f>
        <v>0</v>
      </c>
    </row>
    <row r="160" spans="1:9" ht="57" x14ac:dyDescent="0.25">
      <c r="A160" s="13" t="s">
        <v>187</v>
      </c>
      <c r="B160" s="48">
        <v>95577</v>
      </c>
      <c r="C160" s="13" t="s">
        <v>16</v>
      </c>
      <c r="D160" s="14" t="s">
        <v>188</v>
      </c>
      <c r="E160" s="15">
        <v>80</v>
      </c>
      <c r="F160" s="13" t="s">
        <v>4</v>
      </c>
      <c r="G160" s="109"/>
      <c r="H160" s="16">
        <f>(G160*$I$8)+G160</f>
        <v>0</v>
      </c>
      <c r="I160" s="16">
        <f>E160*H160</f>
        <v>0</v>
      </c>
    </row>
    <row r="161" spans="1:9" ht="85.5" x14ac:dyDescent="0.25">
      <c r="A161" s="13" t="s">
        <v>189</v>
      </c>
      <c r="B161" s="48">
        <v>87755</v>
      </c>
      <c r="C161" s="13" t="s">
        <v>16</v>
      </c>
      <c r="D161" s="14" t="s">
        <v>190</v>
      </c>
      <c r="E161" s="15">
        <v>19.2</v>
      </c>
      <c r="F161" s="13" t="s">
        <v>0</v>
      </c>
      <c r="G161" s="109"/>
      <c r="H161" s="16">
        <f>(G161*$I$8)+G161</f>
        <v>0</v>
      </c>
      <c r="I161" s="16">
        <f>E161*H161</f>
        <v>0</v>
      </c>
    </row>
    <row r="162" spans="1:9" ht="71.25" x14ac:dyDescent="0.25">
      <c r="A162" s="13" t="s">
        <v>191</v>
      </c>
      <c r="B162" s="48" t="s">
        <v>378</v>
      </c>
      <c r="C162" s="13" t="s">
        <v>16</v>
      </c>
      <c r="D162" s="14" t="s">
        <v>379</v>
      </c>
      <c r="E162" s="15">
        <v>50</v>
      </c>
      <c r="F162" s="13" t="s">
        <v>3</v>
      </c>
      <c r="G162" s="109"/>
      <c r="H162" s="16">
        <f>(G162*$I$8)+G162</f>
        <v>0</v>
      </c>
      <c r="I162" s="16">
        <f>E162*H162</f>
        <v>0</v>
      </c>
    </row>
    <row r="163" spans="1:9" ht="15.75" thickBot="1" x14ac:dyDescent="0.3"/>
    <row r="164" spans="1:9" ht="15.75" thickBot="1" x14ac:dyDescent="0.3">
      <c r="H164" s="43" t="s">
        <v>192</v>
      </c>
      <c r="I164" s="42">
        <f>SUBTOTAL(9,I12:I162)</f>
        <v>0</v>
      </c>
    </row>
    <row r="169" spans="1:9" x14ac:dyDescent="0.25">
      <c r="I169" s="4">
        <v>323344.18999999994</v>
      </c>
    </row>
    <row r="171" spans="1:9" x14ac:dyDescent="0.25">
      <c r="I171" s="4">
        <f>I169-I164</f>
        <v>323344.18999999994</v>
      </c>
    </row>
  </sheetData>
  <sheetProtection password="CC3D" sheet="1" objects="1" scenarios="1"/>
  <mergeCells count="2">
    <mergeCell ref="A1:C5"/>
    <mergeCell ref="D1:I5"/>
  </mergeCells>
  <conditionalFormatting sqref="B14">
    <cfRule type="expression" dxfId="81" priority="81" stopIfTrue="1">
      <formula>$C14=1</formula>
    </cfRule>
    <cfRule type="expression" dxfId="80" priority="82" stopIfTrue="1">
      <formula>OR($C14=0,$C14=2,$C14=3,$C14=4)</formula>
    </cfRule>
  </conditionalFormatting>
  <conditionalFormatting sqref="B17">
    <cfRule type="expression" dxfId="79" priority="79" stopIfTrue="1">
      <formula>$C17=1</formula>
    </cfRule>
    <cfRule type="expression" dxfId="78" priority="80" stopIfTrue="1">
      <formula>OR($C17=0,$C17=2,$C17=3,$C17=4)</formula>
    </cfRule>
  </conditionalFormatting>
  <conditionalFormatting sqref="B19:B26">
    <cfRule type="expression" dxfId="77" priority="77" stopIfTrue="1">
      <formula>$C19=1</formula>
    </cfRule>
    <cfRule type="expression" dxfId="76" priority="78" stopIfTrue="1">
      <formula>OR($C19=0,$C19=2,$C19=3,$C19=4)</formula>
    </cfRule>
  </conditionalFormatting>
  <conditionalFormatting sqref="B44:B47 B42">
    <cfRule type="expression" dxfId="75" priority="67" stopIfTrue="1">
      <formula>$C42=1</formula>
    </cfRule>
    <cfRule type="expression" dxfId="74" priority="68" stopIfTrue="1">
      <formula>OR($C42=0,$C42=2,$C42=3,$C42=4)</formula>
    </cfRule>
  </conditionalFormatting>
  <conditionalFormatting sqref="B40">
    <cfRule type="expression" dxfId="73" priority="69" stopIfTrue="1">
      <formula>$C40=1</formula>
    </cfRule>
    <cfRule type="expression" dxfId="72" priority="70" stopIfTrue="1">
      <formula>OR($C40=0,$C40=2,$C40=3,$C40=4)</formula>
    </cfRule>
  </conditionalFormatting>
  <conditionalFormatting sqref="B34:B35">
    <cfRule type="expression" dxfId="71" priority="75" stopIfTrue="1">
      <formula>$C34=1</formula>
    </cfRule>
    <cfRule type="expression" dxfId="70" priority="76" stopIfTrue="1">
      <formula>OR($C34=0,$C34=2,$C34=3,$C34=4)</formula>
    </cfRule>
  </conditionalFormatting>
  <conditionalFormatting sqref="B38:B39">
    <cfRule type="expression" dxfId="69" priority="73" stopIfTrue="1">
      <formula>$C38=1</formula>
    </cfRule>
    <cfRule type="expression" dxfId="68" priority="74" stopIfTrue="1">
      <formula>OR($C38=0,$C38=2,$C38=3,$C38=4)</formula>
    </cfRule>
  </conditionalFormatting>
  <conditionalFormatting sqref="B37">
    <cfRule type="expression" dxfId="67" priority="71" stopIfTrue="1">
      <formula>$C37=1</formula>
    </cfRule>
    <cfRule type="expression" dxfId="66" priority="72" stopIfTrue="1">
      <formula>OR($C37=0,$C37=2,$C37=3,$C37=4)</formula>
    </cfRule>
  </conditionalFormatting>
  <conditionalFormatting sqref="B48:B49">
    <cfRule type="expression" dxfId="65" priority="63" stopIfTrue="1">
      <formula>$C48=1</formula>
    </cfRule>
    <cfRule type="expression" dxfId="64" priority="64" stopIfTrue="1">
      <formula>OR($C48=0,$C48=2,$C48=3,$C48=4)</formula>
    </cfRule>
  </conditionalFormatting>
  <conditionalFormatting sqref="B43">
    <cfRule type="expression" dxfId="63" priority="65" stopIfTrue="1">
      <formula>$C43=1</formula>
    </cfRule>
    <cfRule type="expression" dxfId="62" priority="66" stopIfTrue="1">
      <formula>OR($C43=0,$C43=2,$C43=3,$C43=4)</formula>
    </cfRule>
  </conditionalFormatting>
  <conditionalFormatting sqref="B51:B53 B55">
    <cfRule type="expression" dxfId="61" priority="61" stopIfTrue="1">
      <formula>$C51=1</formula>
    </cfRule>
    <cfRule type="expression" dxfId="60" priority="62" stopIfTrue="1">
      <formula>OR($C51=0,$C51=2,$C51=3,$C51=4)</formula>
    </cfRule>
  </conditionalFormatting>
  <conditionalFormatting sqref="B56 B58">
    <cfRule type="expression" dxfId="59" priority="59" stopIfTrue="1">
      <formula>$C56=1</formula>
    </cfRule>
    <cfRule type="expression" dxfId="58" priority="60" stopIfTrue="1">
      <formula>OR($C56=0,$C56=2,$C56=3,$C56=4)</formula>
    </cfRule>
  </conditionalFormatting>
  <conditionalFormatting sqref="B59">
    <cfRule type="expression" dxfId="57" priority="57" stopIfTrue="1">
      <formula>$C59=1</formula>
    </cfRule>
    <cfRule type="expression" dxfId="56" priority="58" stopIfTrue="1">
      <formula>OR($C59=0,$C59=2,$C59=3,$C59=4)</formula>
    </cfRule>
  </conditionalFormatting>
  <conditionalFormatting sqref="B120:B121">
    <cfRule type="expression" dxfId="55" priority="49" stopIfTrue="1">
      <formula>$C120=1</formula>
    </cfRule>
    <cfRule type="expression" dxfId="54" priority="50" stopIfTrue="1">
      <formula>OR($C120=0,$C120=2,$C120=3,$C120=4)</formula>
    </cfRule>
  </conditionalFormatting>
  <conditionalFormatting sqref="B126">
    <cfRule type="expression" dxfId="53" priority="55" stopIfTrue="1">
      <formula>$C126=1</formula>
    </cfRule>
    <cfRule type="expression" dxfId="52" priority="56" stopIfTrue="1">
      <formula>OR($C126=0,$C126=2,$C126=3,$C126=4)</formula>
    </cfRule>
  </conditionalFormatting>
  <conditionalFormatting sqref="B122">
    <cfRule type="expression" dxfId="51" priority="45" stopIfTrue="1">
      <formula>$C122=1</formula>
    </cfRule>
    <cfRule type="expression" dxfId="50" priority="46" stopIfTrue="1">
      <formula>OR($C122=0,$C122=2,$C122=3,$C122=4)</formula>
    </cfRule>
  </conditionalFormatting>
  <conditionalFormatting sqref="B128:B129">
    <cfRule type="expression" dxfId="49" priority="53" stopIfTrue="1">
      <formula>$C128=1</formula>
    </cfRule>
    <cfRule type="expression" dxfId="48" priority="54" stopIfTrue="1">
      <formula>OR($C128=0,$C128=2,$C128=3,$C128=4)</formula>
    </cfRule>
  </conditionalFormatting>
  <conditionalFormatting sqref="B130">
    <cfRule type="expression" dxfId="47" priority="51" stopIfTrue="1">
      <formula>$C130=1</formula>
    </cfRule>
    <cfRule type="expression" dxfId="46" priority="52" stopIfTrue="1">
      <formula>OR($C130=0,$C130=2,$C130=3,$C130=4)</formula>
    </cfRule>
  </conditionalFormatting>
  <conditionalFormatting sqref="B123">
    <cfRule type="expression" dxfId="45" priority="47" stopIfTrue="1">
      <formula>$C123=1</formula>
    </cfRule>
    <cfRule type="expression" dxfId="44" priority="48" stopIfTrue="1">
      <formula>OR($C123=0,$C123=2,$C123=3,$C123=4)</formula>
    </cfRule>
  </conditionalFormatting>
  <conditionalFormatting sqref="B153:B156">
    <cfRule type="expression" dxfId="43" priority="19" stopIfTrue="1">
      <formula>$C153=1</formula>
    </cfRule>
    <cfRule type="expression" dxfId="42" priority="20" stopIfTrue="1">
      <formula>OR($C153=0,$C153=2,$C153=3,$C153=4)</formula>
    </cfRule>
  </conditionalFormatting>
  <conditionalFormatting sqref="B124">
    <cfRule type="expression" dxfId="41" priority="43" stopIfTrue="1">
      <formula>$C124=1</formula>
    </cfRule>
    <cfRule type="expression" dxfId="40" priority="44" stopIfTrue="1">
      <formula>OR($C124=0,$C124=2,$C124=3,$C124=4)</formula>
    </cfRule>
  </conditionalFormatting>
  <conditionalFormatting sqref="B141">
    <cfRule type="expression" dxfId="39" priority="41" stopIfTrue="1">
      <formula>$C141=1</formula>
    </cfRule>
    <cfRule type="expression" dxfId="38" priority="42" stopIfTrue="1">
      <formula>OR($C141=0,$C141=2,$C141=3,$C141=4)</formula>
    </cfRule>
  </conditionalFormatting>
  <conditionalFormatting sqref="B139">
    <cfRule type="expression" dxfId="37" priority="39" stopIfTrue="1">
      <formula>$C139=1</formula>
    </cfRule>
    <cfRule type="expression" dxfId="36" priority="40" stopIfTrue="1">
      <formula>OR($C139=0,$C139=2,$C139=3,$C139=4)</formula>
    </cfRule>
  </conditionalFormatting>
  <conditionalFormatting sqref="B143">
    <cfRule type="expression" dxfId="35" priority="37" stopIfTrue="1">
      <formula>$C143=1</formula>
    </cfRule>
    <cfRule type="expression" dxfId="34" priority="38" stopIfTrue="1">
      <formula>OR($C143=0,$C143=2,$C143=3,$C143=4)</formula>
    </cfRule>
  </conditionalFormatting>
  <conditionalFormatting sqref="B142">
    <cfRule type="expression" dxfId="33" priority="35" stopIfTrue="1">
      <formula>$C142=1</formula>
    </cfRule>
    <cfRule type="expression" dxfId="32" priority="36" stopIfTrue="1">
      <formula>OR($C142=0,$C142=2,$C142=3,$C142=4)</formula>
    </cfRule>
  </conditionalFormatting>
  <conditionalFormatting sqref="B135">
    <cfRule type="expression" dxfId="31" priority="33" stopIfTrue="1">
      <formula>$C135=1</formula>
    </cfRule>
    <cfRule type="expression" dxfId="30" priority="34" stopIfTrue="1">
      <formula>OR($C135=0,$C135=2,$C135=3,$C135=4)</formula>
    </cfRule>
  </conditionalFormatting>
  <conditionalFormatting sqref="B137">
    <cfRule type="expression" dxfId="29" priority="31" stopIfTrue="1">
      <formula>$C137=1</formula>
    </cfRule>
    <cfRule type="expression" dxfId="28" priority="32" stopIfTrue="1">
      <formula>OR($C137=0,$C137=2,$C137=3,$C137=4)</formula>
    </cfRule>
  </conditionalFormatting>
  <conditionalFormatting sqref="B138">
    <cfRule type="expression" dxfId="27" priority="29" stopIfTrue="1">
      <formula>$C138=1</formula>
    </cfRule>
    <cfRule type="expression" dxfId="26" priority="30" stopIfTrue="1">
      <formula>OR($C138=0,$C138=2,$C138=3,$C138=4)</formula>
    </cfRule>
  </conditionalFormatting>
  <conditionalFormatting sqref="B158:B162">
    <cfRule type="expression" dxfId="25" priority="27" stopIfTrue="1">
      <formula>$C158=1</formula>
    </cfRule>
    <cfRule type="expression" dxfId="24" priority="28" stopIfTrue="1">
      <formula>OR($C158=0,$C158=2,$C158=3,$C158=4)</formula>
    </cfRule>
  </conditionalFormatting>
  <conditionalFormatting sqref="B146:B150">
    <cfRule type="expression" dxfId="23" priority="25" stopIfTrue="1">
      <formula>$C146=1</formula>
    </cfRule>
    <cfRule type="expression" dxfId="22" priority="26" stopIfTrue="1">
      <formula>OR($C146=0,$C146=2,$C146=3,$C146=4)</formula>
    </cfRule>
  </conditionalFormatting>
  <conditionalFormatting sqref="B151">
    <cfRule type="expression" dxfId="21" priority="23" stopIfTrue="1">
      <formula>$C151=1</formula>
    </cfRule>
    <cfRule type="expression" dxfId="20" priority="24" stopIfTrue="1">
      <formula>OR($C151=0,$C151=2,$C151=3,$C151=4)</formula>
    </cfRule>
  </conditionalFormatting>
  <conditionalFormatting sqref="B145">
    <cfRule type="expression" dxfId="19" priority="21" stopIfTrue="1">
      <formula>$C145=1</formula>
    </cfRule>
    <cfRule type="expression" dxfId="18" priority="22" stopIfTrue="1">
      <formula>OR($C145=0,$C145=2,$C145=3,$C145=4)</formula>
    </cfRule>
  </conditionalFormatting>
  <conditionalFormatting sqref="B66">
    <cfRule type="expression" dxfId="17" priority="15" stopIfTrue="1">
      <formula>$C66=1</formula>
    </cfRule>
    <cfRule type="expression" dxfId="16" priority="16" stopIfTrue="1">
      <formula>OR($C66=0,$C66=2,$C66=3,$C66=4)</formula>
    </cfRule>
  </conditionalFormatting>
  <conditionalFormatting sqref="B77:B80">
    <cfRule type="expression" dxfId="15" priority="5" stopIfTrue="1">
      <formula>$C77=1</formula>
    </cfRule>
    <cfRule type="expression" dxfId="14" priority="6" stopIfTrue="1">
      <formula>OR($C77=0,$C77=2,$C77=3,$C77=4)</formula>
    </cfRule>
  </conditionalFormatting>
  <conditionalFormatting sqref="B61:B65">
    <cfRule type="expression" dxfId="13" priority="17" stopIfTrue="1">
      <formula>$C61=1</formula>
    </cfRule>
    <cfRule type="expression" dxfId="12" priority="18" stopIfTrue="1">
      <formula>OR($C61=0,$C61=2,$C61=3,$C61=4)</formula>
    </cfRule>
  </conditionalFormatting>
  <conditionalFormatting sqref="B69:B71">
    <cfRule type="expression" dxfId="11" priority="13" stopIfTrue="1">
      <formula>$C69=1</formula>
    </cfRule>
    <cfRule type="expression" dxfId="10" priority="14" stopIfTrue="1">
      <formula>OR($C69=0,$C69=2,$C69=3,$C69=4)</formula>
    </cfRule>
  </conditionalFormatting>
  <conditionalFormatting sqref="B68">
    <cfRule type="expression" dxfId="9" priority="11" stopIfTrue="1">
      <formula>$C68=1</formula>
    </cfRule>
    <cfRule type="expression" dxfId="8" priority="12" stopIfTrue="1">
      <formula>OR($C68=0,$C68=2,$C68=3,$C68=4)</formula>
    </cfRule>
  </conditionalFormatting>
  <conditionalFormatting sqref="B72:B73">
    <cfRule type="expression" dxfId="7" priority="9" stopIfTrue="1">
      <formula>$C72=1</formula>
    </cfRule>
    <cfRule type="expression" dxfId="6" priority="10" stopIfTrue="1">
      <formula>OR($C72=0,$C72=2,$C72=3,$C72=4)</formula>
    </cfRule>
  </conditionalFormatting>
  <conditionalFormatting sqref="B75">
    <cfRule type="expression" dxfId="5" priority="7" stopIfTrue="1">
      <formula>$C75=1</formula>
    </cfRule>
    <cfRule type="expression" dxfId="4" priority="8" stopIfTrue="1">
      <formula>OR($C75=0,$C75=2,$C75=3,$C75=4)</formula>
    </cfRule>
  </conditionalFormatting>
  <conditionalFormatting sqref="B28:B32">
    <cfRule type="expression" dxfId="3" priority="3" stopIfTrue="1">
      <formula>$C28=1</formula>
    </cfRule>
    <cfRule type="expression" dxfId="2" priority="4" stopIfTrue="1">
      <formula>OR($C28=0,$C28=2,$C28=3,$C28=4)</formula>
    </cfRule>
  </conditionalFormatting>
  <conditionalFormatting sqref="B132">
    <cfRule type="expression" dxfId="1" priority="1" stopIfTrue="1">
      <formula>$C132=1</formula>
    </cfRule>
    <cfRule type="expression" dxfId="0" priority="2" stopIfTrue="1">
      <formula>OR($C132=0,$C132=2,$C132=3,$C132=4)</formula>
    </cfRule>
  </conditionalFormatting>
  <hyperlinks>
    <hyperlink ref="B12" r:id="rId1" display="https://mandatarias.plataformamaisbrasil.gov.br/projeto-basico/private/index.jsf?idProposta=1342572"/>
    <hyperlink ref="B15" r:id="rId2" display="https://mandatarias.plataformamaisbrasil.gov.br/projeto-basico/private/index.jsf?idProposta=1342572"/>
    <hyperlink ref="B133" r:id="rId3" display="https://mandatarias.plataformamaisbrasil.gov.br/projeto-basico/private/index.jsf?idProposta=1342572"/>
    <hyperlink ref="B144" r:id="rId4" display="https://mandatarias.plataformamaisbrasil.gov.br/projeto-basico/private/index.jsf?idProposta=1342572"/>
    <hyperlink ref="B152" r:id="rId5" display="https://mandatarias.plataformamaisbrasil.gov.br/projeto-basico/private/index.jsf?idProposta=1342572"/>
    <hyperlink ref="B157" r:id="rId6" display="https://mandatarias.plataformamaisbrasil.gov.br/projeto-basico/private/index.jsf?idProposta=1342572"/>
  </hyperlinks>
  <pageMargins left="0.511811024" right="0.511811024" top="0.78740157499999996" bottom="0.78740157499999996" header="0.31496062000000002" footer="0.31496062000000002"/>
  <pageSetup paperSize="9" scale="64" orientation="portrait" r:id="rId7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N38"/>
  <sheetViews>
    <sheetView view="pageBreakPreview" zoomScale="90" zoomScaleNormal="60" zoomScaleSheetLayoutView="90" workbookViewId="0">
      <selection activeCell="M42" sqref="M42"/>
    </sheetView>
  </sheetViews>
  <sheetFormatPr defaultRowHeight="15" x14ac:dyDescent="0.25"/>
  <cols>
    <col min="2" max="2" width="9.140625" style="77"/>
    <col min="6" max="6" width="17.7109375" customWidth="1"/>
    <col min="7" max="7" width="21.5703125" bestFit="1" customWidth="1"/>
    <col min="8" max="8" width="12.7109375" customWidth="1"/>
    <col min="9" max="9" width="17.28515625" bestFit="1" customWidth="1"/>
    <col min="10" max="10" width="11.140625" style="70" customWidth="1"/>
    <col min="11" max="11" width="17.28515625" bestFit="1" customWidth="1"/>
    <col min="12" max="12" width="10" style="70" customWidth="1"/>
    <col min="13" max="13" width="17.28515625" bestFit="1" customWidth="1"/>
    <col min="14" max="14" width="9.140625" style="70"/>
    <col min="15" max="15" width="18" bestFit="1" customWidth="1"/>
    <col min="16" max="16" width="9.140625" style="70"/>
    <col min="17" max="17" width="18.42578125" bestFit="1" customWidth="1"/>
    <col min="18" max="18" width="9.140625" style="70"/>
    <col min="19" max="19" width="22.5703125" bestFit="1" customWidth="1"/>
    <col min="20" max="20" width="11.28515625" style="70" bestFit="1" customWidth="1"/>
    <col min="21" max="21" width="9.85546875" customWidth="1"/>
    <col min="22" max="22" width="17.28515625" bestFit="1" customWidth="1"/>
    <col min="23" max="23" width="11.42578125" bestFit="1" customWidth="1"/>
    <col min="24" max="24" width="6.42578125" bestFit="1" customWidth="1"/>
    <col min="25" max="25" width="11.42578125" bestFit="1" customWidth="1"/>
    <col min="26" max="26" width="6.42578125" bestFit="1" customWidth="1"/>
    <col min="27" max="27" width="11.42578125" bestFit="1" customWidth="1"/>
    <col min="29" max="29" width="11.42578125" bestFit="1" customWidth="1"/>
    <col min="31" max="31" width="11.42578125" bestFit="1" customWidth="1"/>
  </cols>
  <sheetData>
    <row r="1" spans="2:40" ht="15.75" thickBot="1" x14ac:dyDescent="0.3">
      <c r="C1" s="120"/>
      <c r="D1" s="120"/>
      <c r="E1" s="120"/>
    </row>
    <row r="2" spans="2:40" ht="15" customHeight="1" x14ac:dyDescent="0.25">
      <c r="C2" s="120"/>
      <c r="D2" s="120"/>
      <c r="E2" s="120"/>
      <c r="F2" s="219" t="s">
        <v>309</v>
      </c>
      <c r="G2" s="208"/>
      <c r="H2" s="208"/>
      <c r="I2" s="208"/>
      <c r="J2" s="208"/>
      <c r="K2" s="209"/>
      <c r="L2" s="74"/>
    </row>
    <row r="3" spans="2:40" x14ac:dyDescent="0.25">
      <c r="C3" s="120"/>
      <c r="D3" s="120"/>
      <c r="E3" s="120"/>
      <c r="F3" s="220"/>
      <c r="G3" s="210"/>
      <c r="H3" s="210"/>
      <c r="I3" s="210"/>
      <c r="J3" s="210"/>
      <c r="K3" s="211"/>
      <c r="L3" s="74"/>
    </row>
    <row r="4" spans="2:40" x14ac:dyDescent="0.25">
      <c r="C4" s="120" t="s">
        <v>460</v>
      </c>
      <c r="D4" s="120"/>
      <c r="E4" s="120"/>
      <c r="F4" s="220"/>
      <c r="G4" s="210"/>
      <c r="H4" s="210"/>
      <c r="I4" s="210"/>
      <c r="J4" s="210"/>
      <c r="K4" s="211"/>
      <c r="L4" s="74"/>
    </row>
    <row r="5" spans="2:40" x14ac:dyDescent="0.25">
      <c r="C5" s="120"/>
      <c r="D5" s="120"/>
      <c r="E5" s="120"/>
      <c r="F5" s="220"/>
      <c r="G5" s="210"/>
      <c r="H5" s="210"/>
      <c r="I5" s="210"/>
      <c r="J5" s="210"/>
      <c r="K5" s="211"/>
      <c r="L5" s="74"/>
    </row>
    <row r="6" spans="2:40" ht="15.75" thickBot="1" x14ac:dyDescent="0.3">
      <c r="C6" s="120"/>
      <c r="D6" s="120"/>
      <c r="E6" s="120"/>
      <c r="F6" s="221"/>
      <c r="G6" s="212"/>
      <c r="H6" s="212"/>
      <c r="I6" s="212"/>
      <c r="J6" s="212"/>
      <c r="K6" s="213"/>
      <c r="L6" s="74"/>
    </row>
    <row r="7" spans="2:40" ht="15.75" thickBot="1" x14ac:dyDescent="0.3"/>
    <row r="8" spans="2:40" x14ac:dyDescent="0.25">
      <c r="B8" s="58" t="s">
        <v>254</v>
      </c>
      <c r="C8" s="59" t="s">
        <v>256</v>
      </c>
      <c r="D8" s="59"/>
      <c r="E8" s="59"/>
      <c r="F8" s="60"/>
      <c r="G8" s="59"/>
      <c r="H8" s="61"/>
      <c r="I8" s="69" t="s">
        <v>258</v>
      </c>
      <c r="J8" s="68"/>
      <c r="K8" s="67" t="e">
        <f>#REF!</f>
        <v>#REF!</v>
      </c>
    </row>
    <row r="9" spans="2:40" ht="15.75" thickBot="1" x14ac:dyDescent="0.3">
      <c r="B9" s="62" t="s">
        <v>255</v>
      </c>
      <c r="C9" s="63" t="s">
        <v>257</v>
      </c>
      <c r="D9" s="63"/>
      <c r="E9" s="63"/>
      <c r="F9" s="64"/>
      <c r="G9" s="63"/>
      <c r="H9" s="65"/>
      <c r="I9" s="62"/>
      <c r="J9" s="65"/>
      <c r="K9" s="66"/>
    </row>
    <row r="10" spans="2:40" ht="15.75" thickBot="1" x14ac:dyDescent="0.3"/>
    <row r="11" spans="2:40" x14ac:dyDescent="0.25">
      <c r="B11" s="138" t="s">
        <v>300</v>
      </c>
      <c r="C11" s="215" t="s">
        <v>299</v>
      </c>
      <c r="D11" s="217"/>
      <c r="E11" s="217"/>
      <c r="F11" s="216"/>
      <c r="G11" s="168" t="s">
        <v>297</v>
      </c>
      <c r="H11" s="169" t="s">
        <v>298</v>
      </c>
      <c r="I11" s="215" t="s">
        <v>301</v>
      </c>
      <c r="J11" s="216"/>
      <c r="K11" s="217" t="s">
        <v>304</v>
      </c>
      <c r="L11" s="217"/>
      <c r="M11" s="215" t="s">
        <v>305</v>
      </c>
      <c r="N11" s="216"/>
      <c r="O11" s="217" t="s">
        <v>306</v>
      </c>
      <c r="P11" s="217"/>
      <c r="Q11" s="215" t="s">
        <v>307</v>
      </c>
      <c r="R11" s="216"/>
      <c r="S11" s="217" t="s">
        <v>308</v>
      </c>
      <c r="T11" s="218"/>
      <c r="U11" s="214"/>
      <c r="V11" s="214"/>
      <c r="W11" s="214"/>
      <c r="X11" s="214"/>
      <c r="Y11" s="214"/>
      <c r="Z11" s="214"/>
      <c r="AA11" s="214"/>
      <c r="AB11" s="214"/>
      <c r="AC11" s="214"/>
      <c r="AD11" s="214"/>
      <c r="AE11" s="214"/>
      <c r="AF11" s="214"/>
      <c r="AG11" s="214"/>
      <c r="AH11" s="214"/>
      <c r="AI11" s="214"/>
      <c r="AJ11" s="214"/>
      <c r="AK11" s="214"/>
      <c r="AL11" s="214"/>
      <c r="AM11" s="214"/>
      <c r="AN11" s="214"/>
    </row>
    <row r="12" spans="2:40" ht="15.75" thickBot="1" x14ac:dyDescent="0.3">
      <c r="B12" s="122"/>
      <c r="C12" s="141"/>
      <c r="D12" s="123"/>
      <c r="E12" s="123"/>
      <c r="F12" s="124"/>
      <c r="G12" s="141"/>
      <c r="H12" s="170"/>
      <c r="I12" s="141" t="s">
        <v>302</v>
      </c>
      <c r="J12" s="142" t="s">
        <v>303</v>
      </c>
      <c r="K12" s="123" t="s">
        <v>302</v>
      </c>
      <c r="L12" s="139" t="s">
        <v>303</v>
      </c>
      <c r="M12" s="141" t="s">
        <v>302</v>
      </c>
      <c r="N12" s="142" t="s">
        <v>303</v>
      </c>
      <c r="O12" s="123" t="s">
        <v>302</v>
      </c>
      <c r="P12" s="139" t="s">
        <v>303</v>
      </c>
      <c r="Q12" s="141" t="s">
        <v>302</v>
      </c>
      <c r="R12" s="142" t="s">
        <v>303</v>
      </c>
      <c r="S12" s="123" t="s">
        <v>302</v>
      </c>
      <c r="T12" s="140" t="s">
        <v>303</v>
      </c>
      <c r="U12" s="77"/>
      <c r="V12" s="77"/>
      <c r="W12" s="77"/>
      <c r="X12" s="77"/>
      <c r="Y12" s="77"/>
      <c r="Z12" s="77"/>
      <c r="AA12" s="77"/>
      <c r="AB12" s="77"/>
      <c r="AC12" s="77"/>
      <c r="AD12" s="77"/>
      <c r="AE12" s="77"/>
      <c r="AF12" s="77"/>
      <c r="AG12" s="77"/>
      <c r="AH12" s="77"/>
      <c r="AI12" s="77"/>
      <c r="AJ12" s="77"/>
      <c r="AK12" s="77"/>
      <c r="AL12" s="77"/>
      <c r="AM12" s="77"/>
      <c r="AN12" s="77"/>
    </row>
    <row r="13" spans="2:40" x14ac:dyDescent="0.25">
      <c r="B13" s="167"/>
      <c r="C13" s="131"/>
      <c r="D13" s="131"/>
      <c r="E13" s="131"/>
      <c r="F13" s="131"/>
      <c r="G13" s="167"/>
      <c r="H13" s="131"/>
      <c r="I13" s="143"/>
      <c r="J13" s="144"/>
      <c r="K13" s="131"/>
      <c r="L13" s="135"/>
      <c r="M13" s="143"/>
      <c r="N13" s="144"/>
      <c r="O13" s="131"/>
      <c r="P13" s="135"/>
      <c r="Q13" s="143"/>
      <c r="R13" s="144"/>
      <c r="S13" s="131"/>
      <c r="T13" s="135"/>
      <c r="U13" s="77"/>
      <c r="V13" s="77"/>
      <c r="W13" s="77"/>
      <c r="X13" s="77"/>
      <c r="Y13" s="77"/>
      <c r="Z13" s="77"/>
      <c r="AA13" s="77"/>
      <c r="AB13" s="77"/>
      <c r="AC13" s="77"/>
      <c r="AD13" s="77"/>
      <c r="AE13" s="77"/>
      <c r="AF13" s="77"/>
      <c r="AG13" s="77"/>
      <c r="AH13" s="77"/>
      <c r="AI13" s="77"/>
      <c r="AJ13" s="77"/>
      <c r="AK13" s="77"/>
      <c r="AL13" s="77"/>
      <c r="AM13" s="77"/>
      <c r="AN13" s="77"/>
    </row>
    <row r="14" spans="2:40" x14ac:dyDescent="0.25">
      <c r="B14" s="166">
        <f>orçamento!A12</f>
        <v>1</v>
      </c>
      <c r="C14" s="134" t="str">
        <f>orçamento!D12</f>
        <v>SERVIÇOS INICIAIS</v>
      </c>
      <c r="D14" s="134"/>
      <c r="E14" s="134"/>
      <c r="F14" s="134"/>
      <c r="G14" s="165"/>
      <c r="H14" s="133" t="e">
        <f>G14/$G$32</f>
        <v>#DIV/0!</v>
      </c>
      <c r="I14" s="145">
        <f>J14*$G$14</f>
        <v>0</v>
      </c>
      <c r="J14" s="146"/>
      <c r="K14" s="136">
        <f>L14*$G$14</f>
        <v>0</v>
      </c>
      <c r="L14" s="121"/>
      <c r="M14" s="145">
        <f>N14*$G$14</f>
        <v>0</v>
      </c>
      <c r="N14" s="146"/>
      <c r="O14" s="136">
        <f>P14*$G$14</f>
        <v>0</v>
      </c>
      <c r="P14" s="121"/>
      <c r="Q14" s="145">
        <f>R14*$G$14</f>
        <v>0</v>
      </c>
      <c r="R14" s="146"/>
      <c r="S14" s="136">
        <f>T14*$G$14</f>
        <v>0</v>
      </c>
      <c r="T14" s="121"/>
      <c r="U14" s="73"/>
      <c r="V14" s="4">
        <f>S14+Q14+O14+M14+K14+I14</f>
        <v>0</v>
      </c>
      <c r="W14" s="73"/>
      <c r="X14" s="70"/>
      <c r="Y14" s="73"/>
      <c r="Z14" s="70"/>
      <c r="AA14" s="73"/>
      <c r="AB14" s="70"/>
      <c r="AC14" s="73"/>
      <c r="AD14" s="70"/>
      <c r="AE14" s="73"/>
      <c r="AF14" s="70"/>
    </row>
    <row r="15" spans="2:40" x14ac:dyDescent="0.25">
      <c r="B15" s="166"/>
      <c r="C15" s="134"/>
      <c r="D15" s="134"/>
      <c r="E15" s="134"/>
      <c r="F15" s="134"/>
      <c r="G15" s="130"/>
      <c r="H15" s="132"/>
      <c r="I15" s="147"/>
      <c r="J15" s="148"/>
      <c r="K15" s="132"/>
      <c r="L15" s="133"/>
      <c r="M15" s="147"/>
      <c r="N15" s="148"/>
      <c r="O15" s="132"/>
      <c r="P15" s="133"/>
      <c r="Q15" s="147"/>
      <c r="R15" s="148"/>
      <c r="S15" s="132"/>
      <c r="T15" s="133"/>
    </row>
    <row r="16" spans="2:40" x14ac:dyDescent="0.25">
      <c r="B16" s="166"/>
      <c r="C16" s="134"/>
      <c r="D16" s="134"/>
      <c r="E16" s="134"/>
      <c r="F16" s="134"/>
      <c r="G16" s="130"/>
      <c r="H16" s="132"/>
      <c r="I16" s="147"/>
      <c r="J16" s="148"/>
      <c r="K16" s="132"/>
      <c r="L16" s="133"/>
      <c r="M16" s="147"/>
      <c r="N16" s="148"/>
      <c r="O16" s="132"/>
      <c r="P16" s="133"/>
      <c r="Q16" s="147"/>
      <c r="R16" s="148"/>
      <c r="S16" s="132"/>
      <c r="T16" s="133"/>
    </row>
    <row r="17" spans="2:22" x14ac:dyDescent="0.25">
      <c r="B17" s="166">
        <f>orçamento!A15</f>
        <v>2</v>
      </c>
      <c r="C17" s="134" t="str">
        <f>orçamento!D15</f>
        <v>QUIOSQUE</v>
      </c>
      <c r="D17" s="134"/>
      <c r="E17" s="134"/>
      <c r="F17" s="134"/>
      <c r="G17" s="165"/>
      <c r="H17" s="133" t="e">
        <f>G17/$G$32</f>
        <v>#DIV/0!</v>
      </c>
      <c r="I17" s="145">
        <f>J17*$G$17</f>
        <v>0</v>
      </c>
      <c r="J17" s="146"/>
      <c r="K17" s="136">
        <f>L17*$G$17</f>
        <v>0</v>
      </c>
      <c r="L17" s="121"/>
      <c r="M17" s="145">
        <f>N17*$G$17</f>
        <v>0</v>
      </c>
      <c r="N17" s="146"/>
      <c r="O17" s="136">
        <f>P17*$G$17</f>
        <v>0</v>
      </c>
      <c r="P17" s="121"/>
      <c r="Q17" s="149">
        <f>R17*$G$17</f>
        <v>0</v>
      </c>
      <c r="R17" s="146"/>
      <c r="S17" s="136">
        <f>T17*$G$17</f>
        <v>0</v>
      </c>
      <c r="T17" s="121"/>
      <c r="V17" s="4">
        <f>S17+Q17+O17+M17+K17+I17</f>
        <v>0</v>
      </c>
    </row>
    <row r="18" spans="2:22" x14ac:dyDescent="0.25">
      <c r="B18" s="166"/>
      <c r="C18" s="134"/>
      <c r="D18" s="134"/>
      <c r="E18" s="134"/>
      <c r="F18" s="134"/>
      <c r="G18" s="130"/>
      <c r="H18" s="132"/>
      <c r="I18" s="147"/>
      <c r="J18" s="148"/>
      <c r="K18" s="132"/>
      <c r="L18" s="133"/>
      <c r="M18" s="147"/>
      <c r="N18" s="148"/>
      <c r="O18" s="132"/>
      <c r="P18" s="133"/>
      <c r="Q18" s="147"/>
      <c r="R18" s="148"/>
      <c r="S18" s="132"/>
      <c r="T18" s="133"/>
    </row>
    <row r="19" spans="2:22" x14ac:dyDescent="0.25">
      <c r="B19" s="166"/>
      <c r="C19" s="134"/>
      <c r="D19" s="134"/>
      <c r="E19" s="134"/>
      <c r="F19" s="134"/>
      <c r="G19" s="130"/>
      <c r="H19" s="132"/>
      <c r="I19" s="147"/>
      <c r="J19" s="148"/>
      <c r="K19" s="132"/>
      <c r="L19" s="133"/>
      <c r="M19" s="147"/>
      <c r="N19" s="148"/>
      <c r="O19" s="132"/>
      <c r="P19" s="133"/>
      <c r="Q19" s="147"/>
      <c r="R19" s="148"/>
      <c r="S19" s="132"/>
      <c r="T19" s="133"/>
    </row>
    <row r="20" spans="2:22" x14ac:dyDescent="0.25">
      <c r="B20" s="166">
        <f>orçamento!A133</f>
        <v>3</v>
      </c>
      <c r="C20" s="134" t="str">
        <f>orçamento!D133</f>
        <v>PISTA DE CAMINHADA</v>
      </c>
      <c r="D20" s="134"/>
      <c r="E20" s="134"/>
      <c r="F20" s="134"/>
      <c r="G20" s="165"/>
      <c r="H20" s="133" t="e">
        <f>G20/$G$32</f>
        <v>#DIV/0!</v>
      </c>
      <c r="I20" s="149">
        <f>J20*$G$20</f>
        <v>0</v>
      </c>
      <c r="J20" s="146"/>
      <c r="K20" s="137">
        <f>L20*$G$20</f>
        <v>0</v>
      </c>
      <c r="L20" s="121"/>
      <c r="M20" s="149">
        <f>N20*$G$20</f>
        <v>0</v>
      </c>
      <c r="N20" s="146"/>
      <c r="O20" s="137">
        <f>P20*$G$20</f>
        <v>0</v>
      </c>
      <c r="P20" s="121"/>
      <c r="Q20" s="149">
        <f>R20*$G$20</f>
        <v>0</v>
      </c>
      <c r="R20" s="146"/>
      <c r="S20" s="136">
        <f>T20*$G$20</f>
        <v>0</v>
      </c>
      <c r="T20" s="121"/>
      <c r="V20" s="4">
        <f>S20+Q20+O20+M20+K20+I20</f>
        <v>0</v>
      </c>
    </row>
    <row r="21" spans="2:22" x14ac:dyDescent="0.25">
      <c r="B21" s="166"/>
      <c r="C21" s="134"/>
      <c r="D21" s="134"/>
      <c r="E21" s="134"/>
      <c r="F21" s="134"/>
      <c r="G21" s="130"/>
      <c r="H21" s="132"/>
      <c r="I21" s="147"/>
      <c r="J21" s="148"/>
      <c r="K21" s="132"/>
      <c r="L21" s="133"/>
      <c r="M21" s="147"/>
      <c r="N21" s="148"/>
      <c r="O21" s="132"/>
      <c r="P21" s="133"/>
      <c r="Q21" s="147"/>
      <c r="R21" s="148"/>
      <c r="S21" s="132"/>
      <c r="T21" s="133"/>
    </row>
    <row r="22" spans="2:22" x14ac:dyDescent="0.25">
      <c r="B22" s="166"/>
      <c r="C22" s="134"/>
      <c r="D22" s="134"/>
      <c r="E22" s="134"/>
      <c r="F22" s="134"/>
      <c r="G22" s="130"/>
      <c r="H22" s="132"/>
      <c r="I22" s="147"/>
      <c r="J22" s="148"/>
      <c r="K22" s="132"/>
      <c r="L22" s="133"/>
      <c r="M22" s="147"/>
      <c r="N22" s="148"/>
      <c r="O22" s="132"/>
      <c r="P22" s="133"/>
      <c r="Q22" s="147"/>
      <c r="R22" s="148"/>
      <c r="S22" s="132"/>
      <c r="T22" s="133"/>
    </row>
    <row r="23" spans="2:22" x14ac:dyDescent="0.25">
      <c r="B23" s="166">
        <f>orçamento!A144</f>
        <v>4</v>
      </c>
      <c r="C23" s="134" t="str">
        <f>orçamento!D144</f>
        <v>DRENAGEM</v>
      </c>
      <c r="D23" s="134"/>
      <c r="E23" s="134"/>
      <c r="F23" s="134"/>
      <c r="G23" s="165"/>
      <c r="H23" s="133" t="e">
        <f>G23/$G$32</f>
        <v>#DIV/0!</v>
      </c>
      <c r="I23" s="147"/>
      <c r="J23" s="146"/>
      <c r="K23" s="136">
        <f>L23*$G$23</f>
        <v>0</v>
      </c>
      <c r="L23" s="121"/>
      <c r="M23" s="147"/>
      <c r="N23" s="146"/>
      <c r="O23" s="132"/>
      <c r="P23" s="121"/>
      <c r="Q23" s="147"/>
      <c r="R23" s="146"/>
      <c r="S23" s="132"/>
      <c r="T23" s="121"/>
      <c r="V23" s="4">
        <f>S23+Q23+O23+M23+K23+I23</f>
        <v>0</v>
      </c>
    </row>
    <row r="24" spans="2:22" x14ac:dyDescent="0.25">
      <c r="B24" s="166"/>
      <c r="C24" s="134"/>
      <c r="D24" s="134"/>
      <c r="E24" s="134"/>
      <c r="F24" s="134"/>
      <c r="G24" s="130"/>
      <c r="H24" s="132"/>
      <c r="I24" s="147"/>
      <c r="J24" s="148"/>
      <c r="K24" s="132"/>
      <c r="L24" s="133"/>
      <c r="M24" s="147"/>
      <c r="N24" s="148"/>
      <c r="O24" s="132"/>
      <c r="P24" s="133"/>
      <c r="Q24" s="147"/>
      <c r="R24" s="148"/>
      <c r="S24" s="132"/>
      <c r="T24" s="133"/>
    </row>
    <row r="25" spans="2:22" x14ac:dyDescent="0.25">
      <c r="B25" s="166"/>
      <c r="C25" s="134"/>
      <c r="D25" s="134"/>
      <c r="E25" s="134"/>
      <c r="F25" s="134"/>
      <c r="G25" s="130"/>
      <c r="H25" s="132"/>
      <c r="I25" s="147"/>
      <c r="J25" s="148"/>
      <c r="K25" s="132"/>
      <c r="L25" s="133"/>
      <c r="M25" s="147"/>
      <c r="N25" s="148"/>
      <c r="O25" s="132"/>
      <c r="P25" s="133"/>
      <c r="Q25" s="147"/>
      <c r="R25" s="148"/>
      <c r="S25" s="132"/>
      <c r="T25" s="133"/>
    </row>
    <row r="26" spans="2:22" x14ac:dyDescent="0.25">
      <c r="B26" s="166">
        <f>orçamento!A152</f>
        <v>5</v>
      </c>
      <c r="C26" s="134" t="str">
        <f>orçamento!D152</f>
        <v>PAISAGISMO</v>
      </c>
      <c r="D26" s="134"/>
      <c r="E26" s="134"/>
      <c r="F26" s="134"/>
      <c r="G26" s="165"/>
      <c r="H26" s="133" t="e">
        <f>G26/$G$32</f>
        <v>#DIV/0!</v>
      </c>
      <c r="I26" s="147"/>
      <c r="J26" s="146"/>
      <c r="K26" s="132"/>
      <c r="L26" s="121"/>
      <c r="M26" s="149">
        <f>N26*$G$26</f>
        <v>0</v>
      </c>
      <c r="N26" s="146"/>
      <c r="O26" s="137">
        <f>P26*$G$26</f>
        <v>0</v>
      </c>
      <c r="P26" s="121"/>
      <c r="Q26" s="149">
        <f>R26*$G$26</f>
        <v>0</v>
      </c>
      <c r="R26" s="146"/>
      <c r="S26" s="136">
        <f>T26*$G$26</f>
        <v>0</v>
      </c>
      <c r="T26" s="121"/>
      <c r="V26" s="4">
        <f>S26+Q26+O26+M26+K26+I26</f>
        <v>0</v>
      </c>
    </row>
    <row r="27" spans="2:22" x14ac:dyDescent="0.25">
      <c r="B27" s="166"/>
      <c r="C27" s="134"/>
      <c r="D27" s="134"/>
      <c r="E27" s="134"/>
      <c r="F27" s="134"/>
      <c r="G27" s="130"/>
      <c r="H27" s="132"/>
      <c r="I27" s="147"/>
      <c r="J27" s="148"/>
      <c r="K27" s="132"/>
      <c r="L27" s="133"/>
      <c r="M27" s="147"/>
      <c r="N27" s="148"/>
      <c r="O27" s="132"/>
      <c r="P27" s="133"/>
      <c r="Q27" s="147"/>
      <c r="R27" s="148"/>
      <c r="S27" s="132"/>
      <c r="T27" s="133"/>
    </row>
    <row r="28" spans="2:22" x14ac:dyDescent="0.25">
      <c r="B28" s="166"/>
      <c r="C28" s="134"/>
      <c r="D28" s="134"/>
      <c r="E28" s="134"/>
      <c r="F28" s="134"/>
      <c r="G28" s="130"/>
      <c r="H28" s="132"/>
      <c r="I28" s="147"/>
      <c r="J28" s="148"/>
      <c r="K28" s="132"/>
      <c r="L28" s="133"/>
      <c r="M28" s="147"/>
      <c r="N28" s="148"/>
      <c r="O28" s="132"/>
      <c r="P28" s="133"/>
      <c r="Q28" s="147"/>
      <c r="R28" s="148"/>
      <c r="S28" s="132"/>
      <c r="T28" s="133"/>
    </row>
    <row r="29" spans="2:22" x14ac:dyDescent="0.25">
      <c r="B29" s="166">
        <f>orçamento!A157</f>
        <v>6</v>
      </c>
      <c r="C29" s="134" t="str">
        <f>orçamento!D157</f>
        <v>ELEVAÇÃO DO MURO DE ARRIMO</v>
      </c>
      <c r="D29" s="134"/>
      <c r="E29" s="134"/>
      <c r="F29" s="134"/>
      <c r="G29" s="165"/>
      <c r="H29" s="133" t="e">
        <f>G29/$G$32</f>
        <v>#DIV/0!</v>
      </c>
      <c r="I29" s="145">
        <f>J29*$G$29</f>
        <v>0</v>
      </c>
      <c r="J29" s="146"/>
      <c r="K29" s="132"/>
      <c r="L29" s="121"/>
      <c r="M29" s="147"/>
      <c r="N29" s="146"/>
      <c r="O29" s="132"/>
      <c r="P29" s="121"/>
      <c r="Q29" s="147"/>
      <c r="R29" s="146"/>
      <c r="S29" s="132"/>
      <c r="T29" s="121"/>
      <c r="V29" s="4">
        <f>S29+Q29+O29+M29+K29+I29</f>
        <v>0</v>
      </c>
    </row>
    <row r="30" spans="2:22" x14ac:dyDescent="0.25">
      <c r="B30" s="167"/>
      <c r="C30" s="132"/>
      <c r="D30" s="132"/>
      <c r="E30" s="132"/>
      <c r="F30" s="132"/>
      <c r="G30" s="130"/>
      <c r="H30" s="132"/>
      <c r="I30" s="147"/>
      <c r="J30" s="148"/>
      <c r="K30" s="132"/>
      <c r="L30" s="133"/>
      <c r="M30" s="147"/>
      <c r="N30" s="148"/>
      <c r="O30" s="132"/>
      <c r="P30" s="133"/>
      <c r="Q30" s="147"/>
      <c r="R30" s="148"/>
      <c r="S30" s="132"/>
      <c r="T30" s="133"/>
    </row>
    <row r="31" spans="2:22" x14ac:dyDescent="0.25">
      <c r="B31" s="167"/>
      <c r="C31" s="132"/>
      <c r="D31" s="132"/>
      <c r="E31" s="132"/>
      <c r="F31" s="132"/>
      <c r="G31" s="128"/>
      <c r="H31" s="132"/>
      <c r="I31" s="147"/>
      <c r="J31" s="148"/>
      <c r="K31" s="132"/>
      <c r="L31" s="133"/>
      <c r="M31" s="147"/>
      <c r="N31" s="148"/>
      <c r="O31" s="132"/>
      <c r="P31" s="133"/>
      <c r="Q31" s="147"/>
      <c r="R31" s="148"/>
      <c r="S31" s="132"/>
      <c r="T31" s="133"/>
    </row>
    <row r="32" spans="2:22" x14ac:dyDescent="0.25">
      <c r="B32" s="125"/>
      <c r="C32" s="171"/>
      <c r="D32" s="171"/>
      <c r="E32" s="171"/>
      <c r="F32" s="126"/>
      <c r="G32" s="153">
        <f>SUM(G14:G31)</f>
        <v>0</v>
      </c>
      <c r="H32" s="154" t="e">
        <f>G32/$G$32</f>
        <v>#DIV/0!</v>
      </c>
      <c r="I32" s="155">
        <f>SUM(I13:I31)</f>
        <v>0</v>
      </c>
      <c r="J32" s="156" t="e">
        <f>I32/G32</f>
        <v>#DIV/0!</v>
      </c>
      <c r="K32" s="157">
        <f>SUM(K13:K31)</f>
        <v>0</v>
      </c>
      <c r="L32" s="158" t="e">
        <f>K32/G32</f>
        <v>#DIV/0!</v>
      </c>
      <c r="M32" s="155">
        <f>SUM(M13:M31)</f>
        <v>0</v>
      </c>
      <c r="N32" s="156" t="e">
        <f>M32/G32</f>
        <v>#DIV/0!</v>
      </c>
      <c r="O32" s="157">
        <f>SUM(O13:O31)</f>
        <v>0</v>
      </c>
      <c r="P32" s="158" t="e">
        <f>O32/G32</f>
        <v>#DIV/0!</v>
      </c>
      <c r="Q32" s="155">
        <f>SUM(Q13:Q31)</f>
        <v>0</v>
      </c>
      <c r="R32" s="156" t="e">
        <f>Q32/G32</f>
        <v>#DIV/0!</v>
      </c>
      <c r="S32" s="157">
        <f>SUM(S13:S31)</f>
        <v>0</v>
      </c>
      <c r="T32" s="156" t="e">
        <f>S32/G32</f>
        <v>#DIV/0!</v>
      </c>
      <c r="V32" s="4">
        <f>SUM(V14:V31)</f>
        <v>0</v>
      </c>
    </row>
    <row r="33" spans="2:20" x14ac:dyDescent="0.25">
      <c r="B33" s="127"/>
      <c r="C33" s="132"/>
      <c r="D33" s="132"/>
      <c r="E33" s="132"/>
      <c r="F33" s="129"/>
      <c r="G33" s="159"/>
      <c r="H33" s="160"/>
      <c r="I33" s="150">
        <f>SUM(I13:I31)</f>
        <v>0</v>
      </c>
      <c r="J33" s="151" t="e">
        <f>I33/G32</f>
        <v>#DIV/0!</v>
      </c>
      <c r="K33" s="161">
        <f>I33+K32</f>
        <v>0</v>
      </c>
      <c r="L33" s="162" t="e">
        <f>K33/G32</f>
        <v>#DIV/0!</v>
      </c>
      <c r="M33" s="152">
        <f>K33+M32</f>
        <v>0</v>
      </c>
      <c r="N33" s="151" t="e">
        <f>M33/G32</f>
        <v>#DIV/0!</v>
      </c>
      <c r="O33" s="161">
        <f>M33+O32</f>
        <v>0</v>
      </c>
      <c r="P33" s="162" t="e">
        <f>O33/G32</f>
        <v>#DIV/0!</v>
      </c>
      <c r="Q33" s="152">
        <f>O33+Q32</f>
        <v>0</v>
      </c>
      <c r="R33" s="151" t="e">
        <f>Q33/G32</f>
        <v>#DIV/0!</v>
      </c>
      <c r="S33" s="163">
        <f>Q33+S32</f>
        <v>0</v>
      </c>
      <c r="T33" s="164" t="e">
        <f>S33/G32</f>
        <v>#DIV/0!</v>
      </c>
    </row>
    <row r="38" spans="2:20" x14ac:dyDescent="0.25">
      <c r="K38" t="s">
        <v>310</v>
      </c>
    </row>
  </sheetData>
  <sheetProtection password="CC3D" sheet="1" objects="1" scenarios="1"/>
  <mergeCells count="18">
    <mergeCell ref="O11:P11"/>
    <mergeCell ref="F2:K6"/>
    <mergeCell ref="C11:F11"/>
    <mergeCell ref="I11:J11"/>
    <mergeCell ref="K11:L11"/>
    <mergeCell ref="M11:N11"/>
    <mergeCell ref="AM11:AN11"/>
    <mergeCell ref="Q11:R11"/>
    <mergeCell ref="S11:T11"/>
    <mergeCell ref="U11:V11"/>
    <mergeCell ref="W11:X11"/>
    <mergeCell ref="Y11:Z11"/>
    <mergeCell ref="AA11:AB11"/>
    <mergeCell ref="AC11:AD11"/>
    <mergeCell ref="AE11:AF11"/>
    <mergeCell ref="AG11:AH11"/>
    <mergeCell ref="AI11:AJ11"/>
    <mergeCell ref="AK11:AL11"/>
  </mergeCells>
  <pageMargins left="0.511811024" right="0.511811024" top="0.78740157499999996" bottom="0.78740157499999996" header="0.31496062000000002" footer="0.31496062000000002"/>
  <pageSetup paperSize="9" scale="5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3</vt:i4>
      </vt:variant>
      <vt:variant>
        <vt:lpstr>Intervalos nomeados</vt:lpstr>
      </vt:variant>
      <vt:variant>
        <vt:i4>3</vt:i4>
      </vt:variant>
    </vt:vector>
  </HeadingPairs>
  <TitlesOfParts>
    <vt:vector size="6" baseType="lpstr">
      <vt:lpstr>BDI</vt:lpstr>
      <vt:lpstr>orçamento</vt:lpstr>
      <vt:lpstr>cronograma</vt:lpstr>
      <vt:lpstr>BDI!Area_de_impressao</vt:lpstr>
      <vt:lpstr>cronograma!Area_de_impressao</vt:lpstr>
      <vt:lpstr>orçamento!Area_de_impressao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Eduardo Mazzetto</dc:creator>
  <cp:lastModifiedBy>Carlos Eduardo Mazzetto</cp:lastModifiedBy>
  <cp:lastPrinted>2020-03-31T17:59:07Z</cp:lastPrinted>
  <dcterms:created xsi:type="dcterms:W3CDTF">2020-02-21T10:43:44Z</dcterms:created>
  <dcterms:modified xsi:type="dcterms:W3CDTF">2021-12-07T14:33:37Z</dcterms:modified>
</cp:coreProperties>
</file>