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charts/chart1.xml" ContentType="application/vnd.openxmlformats-officedocument.drawingml.chart+xml"/>
  <Override PartName="/xl/drawings/drawing16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0730" windowHeight="11160" activeTab="3"/>
  </bookViews>
  <sheets>
    <sheet name="MENU" sheetId="14" r:id="rId1"/>
    <sheet name="TIPOLOGIA" sheetId="4" r:id="rId2"/>
    <sheet name="1. DADOS OPERACIONAIS" sheetId="1" r:id="rId3"/>
    <sheet name="2. COEFICIENTES" sheetId="5" r:id="rId4"/>
    <sheet name="3. PREÇOS INSUMOS" sheetId="2" r:id="rId5"/>
    <sheet name="4. CUSTOS VARIÁVEIS" sheetId="6" r:id="rId6"/>
    <sheet name="5. CUSTOS FIXOS (PESSOAL)" sheetId="7" r:id="rId7"/>
    <sheet name="6. CUSTOS ADMINISTRATIVOS" sheetId="8" r:id="rId8"/>
    <sheet name="7. INVESTIMENTO FROTA" sheetId="9" r:id="rId9"/>
    <sheet name="8. DEPRECIAÇÃO DE FROTA" sheetId="11" r:id="rId10"/>
    <sheet name="9. ENCARGOS SOCIAIS" sheetId="3" r:id="rId11"/>
    <sheet name="10. TRIBUTAÇÃO E IMPOSTOS" sheetId="16" r:id="rId12"/>
    <sheet name="11. RECEITA ACESSORIA" sheetId="18" r:id="rId13"/>
    <sheet name="12. FLUXO DE CAIXA" sheetId="15" r:id="rId14"/>
    <sheet name="Gráf1 - IDADE MÉDIA" sheetId="10" r:id="rId15"/>
    <sheet name="REAJUSTE FÓMULA" sheetId="21" r:id="rId16"/>
  </sheets>
  <externalReferences>
    <externalReference r:id="rId17"/>
  </externalReferences>
  <definedNames>
    <definedName name="_xlnm.Print_Area" localSheetId="2">'1. DADOS OPERACIONAIS'!$B$2:$T$60</definedName>
    <definedName name="_xlnm.Print_Area" localSheetId="11">'10. TRIBUTAÇÃO E IMPOSTOS'!$B$2:$Q$25</definedName>
    <definedName name="_xlnm.Print_Area" localSheetId="12">'11. RECEITA ACESSORIA'!$B$2:$R$11</definedName>
    <definedName name="_xlnm.Print_Area" localSheetId="13">'12. FLUXO DE CAIXA'!$C$2:$V$95</definedName>
    <definedName name="_xlnm.Print_Area" localSheetId="3">'2. COEFICIENTES'!$B$2:$T$137</definedName>
    <definedName name="_xlnm.Print_Area" localSheetId="4">'3. PREÇOS INSUMOS'!$B$2:$U$201</definedName>
    <definedName name="_xlnm.Print_Area" localSheetId="5">'4. CUSTOS VARIÁVEIS'!$B$2:$T$80</definedName>
    <definedName name="_xlnm.Print_Area" localSheetId="6">'5. CUSTOS FIXOS (PESSOAL)'!$B$2:$T$92</definedName>
    <definedName name="_xlnm.Print_Area" localSheetId="7">'6. CUSTOS ADMINISTRATIVOS'!$B$2:$U$97</definedName>
    <definedName name="_xlnm.Print_Area" localSheetId="8">'7. INVESTIMENTO FROTA'!$B$2:$U$385</definedName>
    <definedName name="_xlnm.Print_Area" localSheetId="9">'8. DEPRECIAÇÃO DE FROTA'!$B$2:$T$64</definedName>
    <definedName name="_xlnm.Print_Area" localSheetId="10">'9. ENCARGOS SOCIAIS'!$B$2:$Q$42</definedName>
    <definedName name="_xlnm.Print_Area" localSheetId="0">MENU!$B$2:$C$134</definedName>
    <definedName name="_xlnm.Print_Area" localSheetId="15">'REAJUSTE FÓMULA'!$C$1:$R$36</definedName>
    <definedName name="_xlnm.Print_Area" localSheetId="1">TIPOLOGIA!$B$2:$P$35</definedName>
    <definedName name="_xlnm.Print_Titles" localSheetId="13">'12. FLUXO DE CAIXA'!$2:$7</definedName>
    <definedName name="_xlnm.Print_Titles" localSheetId="3">'2. COEFICIENTES'!$1:$6</definedName>
    <definedName name="_xlnm.Print_Titles" localSheetId="4">'3. PREÇOS INSUMOS'!$1:$6</definedName>
    <definedName name="_xlnm.Print_Titles" localSheetId="5">'4. CUSTOS VARIÁVEIS'!$1:$6</definedName>
    <definedName name="_xlnm.Print_Titles" localSheetId="6">'5. CUSTOS FIXOS (PESSOAL)'!$1:$6</definedName>
    <definedName name="_xlnm.Print_Titles" localSheetId="7">'6. CUSTOS ADMINISTRATIVOS'!$1:$6</definedName>
    <definedName name="_xlnm.Print_Titles" localSheetId="8">'7. INVESTIMENTO FROTA'!$1:$6</definedName>
    <definedName name="_xlnm.Print_Titles" localSheetId="9">'8. DEPRECIAÇÃO DE FROTA'!$1:$6</definedName>
    <definedName name="_xlnm.Print_Titles" localSheetId="0">MENU!$2:$8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1"/>
  <c r="F29"/>
  <c r="G197" i="2" l="1"/>
  <c r="E5" i="21" l="1"/>
  <c r="E4"/>
  <c r="E3"/>
  <c r="F33" i="1" l="1"/>
  <c r="G160" i="2" l="1"/>
  <c r="D11" i="21" l="1"/>
  <c r="C245" i="9" l="1"/>
  <c r="C215"/>
  <c r="C185"/>
  <c r="T272"/>
  <c r="T271"/>
  <c r="T270"/>
  <c r="T269"/>
  <c r="T268"/>
  <c r="T267"/>
  <c r="T266"/>
  <c r="T265"/>
  <c r="T264"/>
  <c r="T263"/>
  <c r="T262"/>
  <c r="T257"/>
  <c r="T256"/>
  <c r="T255"/>
  <c r="T254"/>
  <c r="T253"/>
  <c r="T252"/>
  <c r="T251"/>
  <c r="T250"/>
  <c r="T249"/>
  <c r="T248"/>
  <c r="T247"/>
  <c r="G261"/>
  <c r="H261" s="1"/>
  <c r="I261" s="1"/>
  <c r="J261" s="1"/>
  <c r="K261" s="1"/>
  <c r="L261" s="1"/>
  <c r="M261" s="1"/>
  <c r="N261" s="1"/>
  <c r="O261" s="1"/>
  <c r="P261" s="1"/>
  <c r="Q261" s="1"/>
  <c r="R261" s="1"/>
  <c r="S261" s="1"/>
  <c r="T261" s="1"/>
  <c r="T242"/>
  <c r="T241"/>
  <c r="T240"/>
  <c r="T239"/>
  <c r="T238"/>
  <c r="T237"/>
  <c r="T236"/>
  <c r="T235"/>
  <c r="T234"/>
  <c r="T233"/>
  <c r="T232"/>
  <c r="T217"/>
  <c r="T218"/>
  <c r="T219"/>
  <c r="T220"/>
  <c r="T221"/>
  <c r="T222"/>
  <c r="T223"/>
  <c r="T224"/>
  <c r="T225"/>
  <c r="T226"/>
  <c r="T227"/>
  <c r="G231"/>
  <c r="H231" s="1"/>
  <c r="I231" s="1"/>
  <c r="J231" s="1"/>
  <c r="K231" s="1"/>
  <c r="L231" s="1"/>
  <c r="M231" s="1"/>
  <c r="N231" s="1"/>
  <c r="O231" s="1"/>
  <c r="P231" s="1"/>
  <c r="Q231" s="1"/>
  <c r="R231" s="1"/>
  <c r="S231" s="1"/>
  <c r="T231" s="1"/>
  <c r="G201"/>
  <c r="H201" s="1"/>
  <c r="I201" s="1"/>
  <c r="J201" s="1"/>
  <c r="K201" s="1"/>
  <c r="L201" s="1"/>
  <c r="M201" s="1"/>
  <c r="N201" s="1"/>
  <c r="O201" s="1"/>
  <c r="P201" s="1"/>
  <c r="Q201" s="1"/>
  <c r="R201" s="1"/>
  <c r="S201" s="1"/>
  <c r="T201" s="1"/>
  <c r="T273" l="1"/>
  <c r="T243"/>
  <c r="C326"/>
  <c r="T197" l="1"/>
  <c r="T196"/>
  <c r="T195"/>
  <c r="T194"/>
  <c r="T193"/>
  <c r="T192"/>
  <c r="T191"/>
  <c r="T190"/>
  <c r="T189"/>
  <c r="T188"/>
  <c r="T187"/>
  <c r="E23" i="1" l="1"/>
  <c r="E19"/>
  <c r="E15"/>
  <c r="C124" i="14" l="1"/>
  <c r="C123"/>
  <c r="C122"/>
  <c r="C63" i="11"/>
  <c r="C62"/>
  <c r="C61"/>
  <c r="C58"/>
  <c r="G60"/>
  <c r="H60" s="1"/>
  <c r="I60" s="1"/>
  <c r="J60" s="1"/>
  <c r="K60" s="1"/>
  <c r="L60" s="1"/>
  <c r="M60" s="1"/>
  <c r="N60" s="1"/>
  <c r="O60" s="1"/>
  <c r="P60" s="1"/>
  <c r="Q60" s="1"/>
  <c r="R60" s="1"/>
  <c r="S60" s="1"/>
  <c r="T60" s="1"/>
  <c r="F57" i="5" l="1"/>
  <c r="F103"/>
  <c r="F97"/>
  <c r="E15" i="6" l="1"/>
  <c r="E111" i="5"/>
  <c r="C117" i="14" l="1"/>
  <c r="C119"/>
  <c r="C118"/>
  <c r="C115"/>
  <c r="C114"/>
  <c r="C113"/>
  <c r="C111"/>
  <c r="C110"/>
  <c r="C109"/>
  <c r="C105"/>
  <c r="C104"/>
  <c r="C103"/>
  <c r="C101"/>
  <c r="C100"/>
  <c r="C99"/>
  <c r="C97"/>
  <c r="C96"/>
  <c r="C95"/>
  <c r="C53"/>
  <c r="C52"/>
  <c r="C51"/>
  <c r="C47"/>
  <c r="C49"/>
  <c r="C48"/>
  <c r="B7" i="4"/>
  <c r="B7" i="18"/>
  <c r="F127" i="5"/>
  <c r="R5" i="18" l="1"/>
  <c r="F5"/>
  <c r="F4"/>
  <c r="F3"/>
  <c r="P5" i="4" l="1"/>
  <c r="T5" i="1"/>
  <c r="T5" i="5"/>
  <c r="U5" i="2"/>
  <c r="T5" i="6"/>
  <c r="T5" i="7"/>
  <c r="U5" i="8"/>
  <c r="U5" i="9"/>
  <c r="T5" i="11"/>
  <c r="Q5" i="3"/>
  <c r="V5" i="15"/>
  <c r="E5"/>
  <c r="E4"/>
  <c r="E3"/>
  <c r="E5" i="16"/>
  <c r="E4"/>
  <c r="E3"/>
  <c r="C5" i="3"/>
  <c r="C4"/>
  <c r="C3"/>
  <c r="E5" i="11"/>
  <c r="E4"/>
  <c r="E3"/>
  <c r="E5" i="9"/>
  <c r="E4"/>
  <c r="E3"/>
  <c r="E5" i="8"/>
  <c r="E4"/>
  <c r="E3"/>
  <c r="E5" i="7"/>
  <c r="E4"/>
  <c r="E3"/>
  <c r="E5" i="6"/>
  <c r="E4"/>
  <c r="E3"/>
  <c r="F5" i="2"/>
  <c r="F4"/>
  <c r="F3"/>
  <c r="E5" i="5"/>
  <c r="E4"/>
  <c r="E3"/>
  <c r="E5" i="1"/>
  <c r="E4"/>
  <c r="E3"/>
  <c r="E5" i="4"/>
  <c r="E4"/>
  <c r="E3"/>
  <c r="Q5" i="16"/>
  <c r="B19" l="1"/>
  <c r="B9"/>
  <c r="B7"/>
  <c r="B7" i="3"/>
  <c r="C78" i="8"/>
  <c r="B86"/>
  <c r="E61" i="2"/>
  <c r="E114" s="1"/>
  <c r="E60"/>
  <c r="F61" s="1"/>
  <c r="G61" s="1"/>
  <c r="E197" i="9" s="1"/>
  <c r="E59" i="2"/>
  <c r="F60" s="1"/>
  <c r="G60" s="1"/>
  <c r="E196" i="9" s="1"/>
  <c r="E58" i="2"/>
  <c r="E111" s="1"/>
  <c r="E57"/>
  <c r="E110" s="1"/>
  <c r="E56"/>
  <c r="E109" s="1"/>
  <c r="E55"/>
  <c r="E108" s="1"/>
  <c r="E54"/>
  <c r="E107" s="1"/>
  <c r="E53"/>
  <c r="E106" s="1"/>
  <c r="E52"/>
  <c r="E105" s="1"/>
  <c r="E51"/>
  <c r="F52" s="1"/>
  <c r="E76"/>
  <c r="E129" s="1"/>
  <c r="E75"/>
  <c r="F76" s="1"/>
  <c r="G76" s="1"/>
  <c r="E227" i="9" s="1"/>
  <c r="E74" i="2"/>
  <c r="F75" s="1"/>
  <c r="G75" s="1"/>
  <c r="E226" i="9" s="1"/>
  <c r="E73" i="2"/>
  <c r="E126" s="1"/>
  <c r="E72"/>
  <c r="E125" s="1"/>
  <c r="E71"/>
  <c r="E124" s="1"/>
  <c r="E70"/>
  <c r="E123" s="1"/>
  <c r="E69"/>
  <c r="E122" s="1"/>
  <c r="E68"/>
  <c r="E121" s="1"/>
  <c r="E67"/>
  <c r="E120" s="1"/>
  <c r="E66"/>
  <c r="F67" s="1"/>
  <c r="E91"/>
  <c r="E144" s="1"/>
  <c r="E90"/>
  <c r="F91" s="1"/>
  <c r="G91" s="1"/>
  <c r="E257" i="9" s="1"/>
  <c r="E89" i="2"/>
  <c r="F90" s="1"/>
  <c r="G90" s="1"/>
  <c r="E256" i="9" s="1"/>
  <c r="E88" i="2"/>
  <c r="E141" s="1"/>
  <c r="E87"/>
  <c r="E140" s="1"/>
  <c r="E86"/>
  <c r="E139" s="1"/>
  <c r="E85"/>
  <c r="E138" s="1"/>
  <c r="E84"/>
  <c r="E137" s="1"/>
  <c r="E83"/>
  <c r="E136" s="1"/>
  <c r="E82"/>
  <c r="E135" s="1"/>
  <c r="E81"/>
  <c r="F82" s="1"/>
  <c r="E127"/>
  <c r="C48"/>
  <c r="H50"/>
  <c r="I50" s="1"/>
  <c r="J50" s="1"/>
  <c r="K50" s="1"/>
  <c r="L50" s="1"/>
  <c r="M50" s="1"/>
  <c r="N50" s="1"/>
  <c r="O50" s="1"/>
  <c r="P50" s="1"/>
  <c r="Q50" s="1"/>
  <c r="R50" s="1"/>
  <c r="S50" s="1"/>
  <c r="T50" s="1"/>
  <c r="U50" s="1"/>
  <c r="G51"/>
  <c r="E187" i="9" s="1"/>
  <c r="C63" i="2"/>
  <c r="H65"/>
  <c r="I65" s="1"/>
  <c r="J65" s="1"/>
  <c r="K65" s="1"/>
  <c r="L65" s="1"/>
  <c r="M65" s="1"/>
  <c r="N65" s="1"/>
  <c r="O65" s="1"/>
  <c r="P65" s="1"/>
  <c r="Q65" s="1"/>
  <c r="R65" s="1"/>
  <c r="S65" s="1"/>
  <c r="T65" s="1"/>
  <c r="U65" s="1"/>
  <c r="G66"/>
  <c r="E217" i="9" s="1"/>
  <c r="C78" i="2"/>
  <c r="H80"/>
  <c r="I80" s="1"/>
  <c r="J80" s="1"/>
  <c r="K80" s="1"/>
  <c r="L80" s="1"/>
  <c r="M80" s="1"/>
  <c r="N80" s="1"/>
  <c r="O80" s="1"/>
  <c r="P80" s="1"/>
  <c r="Q80" s="1"/>
  <c r="R80" s="1"/>
  <c r="S80" s="1"/>
  <c r="T80" s="1"/>
  <c r="U80" s="1"/>
  <c r="G81"/>
  <c r="E247" i="9" s="1"/>
  <c r="C94" i="2"/>
  <c r="E104" l="1"/>
  <c r="F105" s="1"/>
  <c r="F106" s="1"/>
  <c r="F107" s="1"/>
  <c r="F108" s="1"/>
  <c r="F109" s="1"/>
  <c r="F110" s="1"/>
  <c r="F111" s="1"/>
  <c r="F112" s="1"/>
  <c r="E134"/>
  <c r="F135" s="1"/>
  <c r="F136" s="1"/>
  <c r="F137" s="1"/>
  <c r="F138" s="1"/>
  <c r="F139" s="1"/>
  <c r="F140" s="1"/>
  <c r="F141" s="1"/>
  <c r="F142" s="1"/>
  <c r="E142"/>
  <c r="E128"/>
  <c r="F129" s="1"/>
  <c r="E113"/>
  <c r="F53"/>
  <c r="F54" s="1"/>
  <c r="F55" s="1"/>
  <c r="F56" s="1"/>
  <c r="F57" s="1"/>
  <c r="F58" s="1"/>
  <c r="F59" s="1"/>
  <c r="E119"/>
  <c r="F120" s="1"/>
  <c r="F121" s="1"/>
  <c r="F122" s="1"/>
  <c r="F123" s="1"/>
  <c r="F124" s="1"/>
  <c r="F125" s="1"/>
  <c r="F126" s="1"/>
  <c r="F127" s="1"/>
  <c r="F128" s="1"/>
  <c r="E112"/>
  <c r="G52"/>
  <c r="E188" i="9" s="1"/>
  <c r="F68" i="2"/>
  <c r="G67"/>
  <c r="E218" i="9" s="1"/>
  <c r="F83" i="2"/>
  <c r="G82"/>
  <c r="E248" i="9" s="1"/>
  <c r="E143" i="2"/>
  <c r="F144" s="1"/>
  <c r="C198"/>
  <c r="F143" l="1"/>
  <c r="G53"/>
  <c r="E189" i="9" s="1"/>
  <c r="F113" i="2"/>
  <c r="F114" s="1"/>
  <c r="G54"/>
  <c r="E190" i="9" s="1"/>
  <c r="F69" i="2"/>
  <c r="G68"/>
  <c r="E219" i="9" s="1"/>
  <c r="F84" i="2"/>
  <c r="G83"/>
  <c r="E249" i="9" s="1"/>
  <c r="R90"/>
  <c r="R74"/>
  <c r="O90"/>
  <c r="J91"/>
  <c r="I90"/>
  <c r="H89"/>
  <c r="G88"/>
  <c r="G55" i="2" l="1"/>
  <c r="E191" i="9" s="1"/>
  <c r="F70" i="2"/>
  <c r="G69"/>
  <c r="E220" i="9" s="1"/>
  <c r="F85" i="2"/>
  <c r="G84"/>
  <c r="E250" i="9" s="1"/>
  <c r="G81" i="8"/>
  <c r="H201" i="2"/>
  <c r="I201" s="1"/>
  <c r="J201" s="1"/>
  <c r="K201" s="1"/>
  <c r="L201" s="1"/>
  <c r="M201" s="1"/>
  <c r="N201" s="1"/>
  <c r="O201" s="1"/>
  <c r="P201" s="1"/>
  <c r="Q201" s="1"/>
  <c r="R201" s="1"/>
  <c r="S201" s="1"/>
  <c r="T201" s="1"/>
  <c r="U201" s="1"/>
  <c r="U81" i="8" s="1"/>
  <c r="U82" s="1"/>
  <c r="U95" s="1"/>
  <c r="H200" i="2"/>
  <c r="I200" s="1"/>
  <c r="J200" s="1"/>
  <c r="K200" s="1"/>
  <c r="L200" s="1"/>
  <c r="M200" s="1"/>
  <c r="N200" s="1"/>
  <c r="O200" s="1"/>
  <c r="P200" s="1"/>
  <c r="Q200" s="1"/>
  <c r="R200" s="1"/>
  <c r="S200" s="1"/>
  <c r="T200" s="1"/>
  <c r="U200" s="1"/>
  <c r="H80" i="8"/>
  <c r="I80" s="1"/>
  <c r="J80" s="1"/>
  <c r="K80" s="1"/>
  <c r="L80" s="1"/>
  <c r="M80" s="1"/>
  <c r="N80" s="1"/>
  <c r="O80" s="1"/>
  <c r="P80" s="1"/>
  <c r="Q80" s="1"/>
  <c r="R80" s="1"/>
  <c r="S80" s="1"/>
  <c r="T80" s="1"/>
  <c r="U80" s="1"/>
  <c r="G56" i="2" l="1"/>
  <c r="E192" i="9" s="1"/>
  <c r="F71" i="2"/>
  <c r="G70"/>
  <c r="E221" i="9" s="1"/>
  <c r="G85" i="2"/>
  <c r="E251" i="9" s="1"/>
  <c r="F86" i="2"/>
  <c r="L81" i="8"/>
  <c r="L82" s="1"/>
  <c r="H81"/>
  <c r="H82" s="1"/>
  <c r="H95" s="1"/>
  <c r="M81"/>
  <c r="M82" s="1"/>
  <c r="S81"/>
  <c r="S82" s="1"/>
  <c r="K81"/>
  <c r="K82" s="1"/>
  <c r="P81"/>
  <c r="P82" s="1"/>
  <c r="Q81"/>
  <c r="Q82" s="1"/>
  <c r="I81"/>
  <c r="I82" s="1"/>
  <c r="I95" s="1"/>
  <c r="O81"/>
  <c r="O82" s="1"/>
  <c r="T81"/>
  <c r="T82" s="1"/>
  <c r="G82"/>
  <c r="J81"/>
  <c r="J82" s="1"/>
  <c r="N81"/>
  <c r="N82" s="1"/>
  <c r="N95" s="1"/>
  <c r="R81"/>
  <c r="R82" s="1"/>
  <c r="R95" s="1"/>
  <c r="U83"/>
  <c r="U46" i="15" s="1"/>
  <c r="I83" i="8" l="1"/>
  <c r="I46" i="15" s="1"/>
  <c r="G57" i="2"/>
  <c r="E193" i="9" s="1"/>
  <c r="F72" i="2"/>
  <c r="G71"/>
  <c r="E222" i="9" s="1"/>
  <c r="F87" i="2"/>
  <c r="G86"/>
  <c r="E252" i="9" s="1"/>
  <c r="N83" i="8"/>
  <c r="N46" i="15" s="1"/>
  <c r="R83" i="8"/>
  <c r="R46" i="15" s="1"/>
  <c r="H83" i="8"/>
  <c r="H46" i="15" s="1"/>
  <c r="G83" i="8"/>
  <c r="G46" i="15" s="1"/>
  <c r="G95" i="8"/>
  <c r="Q83"/>
  <c r="Q46" i="15" s="1"/>
  <c r="Q95" i="8"/>
  <c r="M83"/>
  <c r="M46" i="15" s="1"/>
  <c r="M95" i="8"/>
  <c r="T83"/>
  <c r="T46" i="15" s="1"/>
  <c r="T95" i="8"/>
  <c r="P83"/>
  <c r="P46" i="15" s="1"/>
  <c r="P95" i="8"/>
  <c r="O83"/>
  <c r="O46" i="15" s="1"/>
  <c r="O95" i="8"/>
  <c r="K83"/>
  <c r="K46" i="15" s="1"/>
  <c r="K95" i="8"/>
  <c r="L83"/>
  <c r="L46" i="15" s="1"/>
  <c r="L95" i="8"/>
  <c r="J83"/>
  <c r="J46" i="15" s="1"/>
  <c r="J95" i="8"/>
  <c r="S83"/>
  <c r="S46" i="15" s="1"/>
  <c r="S95" i="8"/>
  <c r="G58" i="2" l="1"/>
  <c r="E194" i="9" s="1"/>
  <c r="G59" i="2"/>
  <c r="E195" i="9" s="1"/>
  <c r="F73" i="2"/>
  <c r="G72"/>
  <c r="E223" i="9" s="1"/>
  <c r="F88" i="2"/>
  <c r="G87"/>
  <c r="E253" i="9" s="1"/>
  <c r="C69" i="8"/>
  <c r="C55"/>
  <c r="C46"/>
  <c r="C36"/>
  <c r="C23"/>
  <c r="C11"/>
  <c r="C9"/>
  <c r="B7"/>
  <c r="F74" i="2" l="1"/>
  <c r="G74" s="1"/>
  <c r="E225" i="9" s="1"/>
  <c r="G73" i="2"/>
  <c r="E224" i="9" s="1"/>
  <c r="F89" i="2"/>
  <c r="G89" s="1"/>
  <c r="E255" i="9" s="1"/>
  <c r="G88" i="2"/>
  <c r="E254" i="9" s="1"/>
  <c r="G55" i="1"/>
  <c r="F56"/>
  <c r="F58" s="1"/>
  <c r="H55" l="1"/>
  <c r="I55" s="1"/>
  <c r="G56"/>
  <c r="H56"/>
  <c r="G54"/>
  <c r="H54" s="1"/>
  <c r="I54" s="1"/>
  <c r="J54" s="1"/>
  <c r="K54" s="1"/>
  <c r="L54" s="1"/>
  <c r="M54" s="1"/>
  <c r="N54" s="1"/>
  <c r="O54" s="1"/>
  <c r="P54" s="1"/>
  <c r="Q54" s="1"/>
  <c r="R54" s="1"/>
  <c r="S54" s="1"/>
  <c r="T54" s="1"/>
  <c r="G186" i="2"/>
  <c r="D60" i="8"/>
  <c r="D58"/>
  <c r="D63"/>
  <c r="G63"/>
  <c r="D61"/>
  <c r="G61"/>
  <c r="D59"/>
  <c r="D62"/>
  <c r="H13" i="2"/>
  <c r="I13" s="1"/>
  <c r="J13" s="1"/>
  <c r="K13" s="1"/>
  <c r="L13" s="1"/>
  <c r="M13" s="1"/>
  <c r="N13" s="1"/>
  <c r="O13" s="1"/>
  <c r="P13" s="1"/>
  <c r="Q13" s="1"/>
  <c r="R13" s="1"/>
  <c r="S13" s="1"/>
  <c r="T13" s="1"/>
  <c r="U13" s="1"/>
  <c r="J55" i="1" l="1"/>
  <c r="I56"/>
  <c r="G161" i="2"/>
  <c r="G18" i="1"/>
  <c r="H18" s="1"/>
  <c r="I18" s="1"/>
  <c r="J18" s="1"/>
  <c r="K18" s="1"/>
  <c r="L18" s="1"/>
  <c r="M18" s="1"/>
  <c r="N18" s="1"/>
  <c r="O18" s="1"/>
  <c r="P18" s="1"/>
  <c r="Q18" s="1"/>
  <c r="R18" s="1"/>
  <c r="S18" s="1"/>
  <c r="T18" s="1"/>
  <c r="G17"/>
  <c r="H17" s="1"/>
  <c r="I17" s="1"/>
  <c r="J17" s="1"/>
  <c r="K17" s="1"/>
  <c r="L17" s="1"/>
  <c r="M17" s="1"/>
  <c r="N17" s="1"/>
  <c r="O17" s="1"/>
  <c r="P17" s="1"/>
  <c r="Q17" s="1"/>
  <c r="R17" s="1"/>
  <c r="S17" s="1"/>
  <c r="T17" s="1"/>
  <c r="G16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G14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G13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G12"/>
  <c r="H12" s="1"/>
  <c r="I12" s="1"/>
  <c r="J12" s="1"/>
  <c r="K12" s="1"/>
  <c r="L12" s="1"/>
  <c r="M12" s="1"/>
  <c r="N12" s="1"/>
  <c r="O12" s="1"/>
  <c r="P12" s="1"/>
  <c r="Q12" s="1"/>
  <c r="R12" s="1"/>
  <c r="S12" s="1"/>
  <c r="T12" s="1"/>
  <c r="K55" l="1"/>
  <c r="J56"/>
  <c r="D36" i="3"/>
  <c r="E36" s="1"/>
  <c r="F36" s="1"/>
  <c r="G36" s="1"/>
  <c r="H36" s="1"/>
  <c r="I36" s="1"/>
  <c r="J36" s="1"/>
  <c r="K36" s="1"/>
  <c r="L36" s="1"/>
  <c r="M36" s="1"/>
  <c r="N36" s="1"/>
  <c r="O36" s="1"/>
  <c r="P36" s="1"/>
  <c r="Q36" s="1"/>
  <c r="D35"/>
  <c r="E35" s="1"/>
  <c r="F35" s="1"/>
  <c r="G35" s="1"/>
  <c r="H35" s="1"/>
  <c r="I35" s="1"/>
  <c r="J35" s="1"/>
  <c r="K35" s="1"/>
  <c r="L35" s="1"/>
  <c r="M35" s="1"/>
  <c r="N35" s="1"/>
  <c r="O35" s="1"/>
  <c r="P35" s="1"/>
  <c r="Q35" s="1"/>
  <c r="D34"/>
  <c r="E34" s="1"/>
  <c r="F34" s="1"/>
  <c r="G34" s="1"/>
  <c r="H34" s="1"/>
  <c r="I34" s="1"/>
  <c r="J34" s="1"/>
  <c r="K34" s="1"/>
  <c r="L34" s="1"/>
  <c r="M34" s="1"/>
  <c r="N34" s="1"/>
  <c r="O34" s="1"/>
  <c r="P34" s="1"/>
  <c r="Q34" s="1"/>
  <c r="D33"/>
  <c r="E33" s="1"/>
  <c r="F33" s="1"/>
  <c r="G33" s="1"/>
  <c r="H33" s="1"/>
  <c r="I33" s="1"/>
  <c r="J33" s="1"/>
  <c r="K33" s="1"/>
  <c r="L33" s="1"/>
  <c r="M33" s="1"/>
  <c r="N33" s="1"/>
  <c r="O33" s="1"/>
  <c r="P33" s="1"/>
  <c r="Q33" s="1"/>
  <c r="D29"/>
  <c r="E29" s="1"/>
  <c r="F29" s="1"/>
  <c r="G29" s="1"/>
  <c r="H29" s="1"/>
  <c r="I29" s="1"/>
  <c r="J29" s="1"/>
  <c r="K29" s="1"/>
  <c r="L29" s="1"/>
  <c r="M29" s="1"/>
  <c r="N29" s="1"/>
  <c r="O29" s="1"/>
  <c r="P29" s="1"/>
  <c r="Q29" s="1"/>
  <c r="D28"/>
  <c r="E28" s="1"/>
  <c r="F28" s="1"/>
  <c r="G28" s="1"/>
  <c r="H28" s="1"/>
  <c r="I28" s="1"/>
  <c r="J28" s="1"/>
  <c r="K28" s="1"/>
  <c r="L28" s="1"/>
  <c r="M28" s="1"/>
  <c r="N28" s="1"/>
  <c r="O28" s="1"/>
  <c r="P28" s="1"/>
  <c r="Q28" s="1"/>
  <c r="D27"/>
  <c r="E27" s="1"/>
  <c r="F27" s="1"/>
  <c r="G27" s="1"/>
  <c r="H27" s="1"/>
  <c r="I27" s="1"/>
  <c r="J27" s="1"/>
  <c r="K27" s="1"/>
  <c r="L27" s="1"/>
  <c r="M27" s="1"/>
  <c r="N27" s="1"/>
  <c r="O27" s="1"/>
  <c r="P27" s="1"/>
  <c r="Q27" s="1"/>
  <c r="D26"/>
  <c r="E26" s="1"/>
  <c r="F26" s="1"/>
  <c r="G26" s="1"/>
  <c r="H26" s="1"/>
  <c r="I26" s="1"/>
  <c r="J26" s="1"/>
  <c r="K26" s="1"/>
  <c r="L26" s="1"/>
  <c r="M26" s="1"/>
  <c r="N26" s="1"/>
  <c r="O26" s="1"/>
  <c r="P26" s="1"/>
  <c r="Q26" s="1"/>
  <c r="D25"/>
  <c r="E25" s="1"/>
  <c r="F25" s="1"/>
  <c r="G25" s="1"/>
  <c r="H25" s="1"/>
  <c r="I25" s="1"/>
  <c r="J25" s="1"/>
  <c r="K25" s="1"/>
  <c r="L25" s="1"/>
  <c r="M25" s="1"/>
  <c r="N25" s="1"/>
  <c r="O25" s="1"/>
  <c r="P25" s="1"/>
  <c r="Q25" s="1"/>
  <c r="D24"/>
  <c r="E24" s="1"/>
  <c r="F24" s="1"/>
  <c r="G24" s="1"/>
  <c r="H24" s="1"/>
  <c r="I24" s="1"/>
  <c r="J24" s="1"/>
  <c r="K24" s="1"/>
  <c r="L24" s="1"/>
  <c r="M24" s="1"/>
  <c r="N24" s="1"/>
  <c r="O24" s="1"/>
  <c r="P24" s="1"/>
  <c r="Q24" s="1"/>
  <c r="D23"/>
  <c r="E23" s="1"/>
  <c r="F23" s="1"/>
  <c r="G23" s="1"/>
  <c r="H23" s="1"/>
  <c r="I23" s="1"/>
  <c r="J23" s="1"/>
  <c r="K23" s="1"/>
  <c r="L23" s="1"/>
  <c r="M23" s="1"/>
  <c r="N23" s="1"/>
  <c r="O23" s="1"/>
  <c r="P23" s="1"/>
  <c r="Q23" s="1"/>
  <c r="D22"/>
  <c r="E22" s="1"/>
  <c r="F22" s="1"/>
  <c r="G22" s="1"/>
  <c r="H22" s="1"/>
  <c r="I22" s="1"/>
  <c r="J22" s="1"/>
  <c r="K22" s="1"/>
  <c r="L22" s="1"/>
  <c r="M22" s="1"/>
  <c r="N22" s="1"/>
  <c r="O22" s="1"/>
  <c r="P22" s="1"/>
  <c r="Q22" s="1"/>
  <c r="D18"/>
  <c r="E18" s="1"/>
  <c r="F18" s="1"/>
  <c r="G18" s="1"/>
  <c r="H18" s="1"/>
  <c r="I18" s="1"/>
  <c r="J18" s="1"/>
  <c r="K18" s="1"/>
  <c r="L18" s="1"/>
  <c r="M18" s="1"/>
  <c r="N18" s="1"/>
  <c r="O18" s="1"/>
  <c r="P18" s="1"/>
  <c r="Q18" s="1"/>
  <c r="D17"/>
  <c r="E17" s="1"/>
  <c r="F17" s="1"/>
  <c r="G17" s="1"/>
  <c r="H17" s="1"/>
  <c r="I17" s="1"/>
  <c r="J17" s="1"/>
  <c r="K17" s="1"/>
  <c r="L17" s="1"/>
  <c r="M17" s="1"/>
  <c r="N17" s="1"/>
  <c r="O17" s="1"/>
  <c r="P17" s="1"/>
  <c r="Q17" s="1"/>
  <c r="D16"/>
  <c r="E16" s="1"/>
  <c r="F16" s="1"/>
  <c r="G16" s="1"/>
  <c r="H16" s="1"/>
  <c r="I16" s="1"/>
  <c r="J16" s="1"/>
  <c r="K16" s="1"/>
  <c r="L16" s="1"/>
  <c r="M16" s="1"/>
  <c r="N16" s="1"/>
  <c r="O16" s="1"/>
  <c r="P16" s="1"/>
  <c r="Q16" s="1"/>
  <c r="D15"/>
  <c r="E15" s="1"/>
  <c r="F15" s="1"/>
  <c r="G15" s="1"/>
  <c r="H15" s="1"/>
  <c r="I15" s="1"/>
  <c r="J15" s="1"/>
  <c r="K15" s="1"/>
  <c r="L15" s="1"/>
  <c r="M15" s="1"/>
  <c r="N15" s="1"/>
  <c r="O15" s="1"/>
  <c r="P15" s="1"/>
  <c r="Q15" s="1"/>
  <c r="D14"/>
  <c r="E14" s="1"/>
  <c r="F14" s="1"/>
  <c r="G14" s="1"/>
  <c r="H14" s="1"/>
  <c r="I14" s="1"/>
  <c r="J14" s="1"/>
  <c r="K14" s="1"/>
  <c r="L14" s="1"/>
  <c r="M14" s="1"/>
  <c r="N14" s="1"/>
  <c r="O14" s="1"/>
  <c r="P14" s="1"/>
  <c r="Q14" s="1"/>
  <c r="D13"/>
  <c r="E13" s="1"/>
  <c r="F13" s="1"/>
  <c r="G13" s="1"/>
  <c r="H13" s="1"/>
  <c r="I13" s="1"/>
  <c r="J13" s="1"/>
  <c r="K13" s="1"/>
  <c r="L13" s="1"/>
  <c r="M13" s="1"/>
  <c r="N13" s="1"/>
  <c r="O13" s="1"/>
  <c r="P13" s="1"/>
  <c r="Q13" s="1"/>
  <c r="D12"/>
  <c r="E12" s="1"/>
  <c r="F12" s="1"/>
  <c r="G12" s="1"/>
  <c r="H12" s="1"/>
  <c r="I12" s="1"/>
  <c r="J12" s="1"/>
  <c r="K12" s="1"/>
  <c r="L12" s="1"/>
  <c r="M12" s="1"/>
  <c r="N12" s="1"/>
  <c r="O12" s="1"/>
  <c r="P12" s="1"/>
  <c r="Q12" s="1"/>
  <c r="D11"/>
  <c r="E11" s="1"/>
  <c r="F11" s="1"/>
  <c r="G11" s="1"/>
  <c r="H11" s="1"/>
  <c r="I11" s="1"/>
  <c r="J11" s="1"/>
  <c r="K11" s="1"/>
  <c r="L11" s="1"/>
  <c r="M11" s="1"/>
  <c r="N11" s="1"/>
  <c r="O11" s="1"/>
  <c r="P11" s="1"/>
  <c r="Q11" s="1"/>
  <c r="E10"/>
  <c r="F10" s="1"/>
  <c r="G10" s="1"/>
  <c r="H10" s="1"/>
  <c r="I10" s="1"/>
  <c r="J10" s="1"/>
  <c r="K10" s="1"/>
  <c r="L10" s="1"/>
  <c r="M10" s="1"/>
  <c r="N10" s="1"/>
  <c r="O10" s="1"/>
  <c r="P10" s="1"/>
  <c r="Q10" s="1"/>
  <c r="G73" i="8"/>
  <c r="D40"/>
  <c r="E15"/>
  <c r="E16" s="1"/>
  <c r="E27"/>
  <c r="E28" s="1"/>
  <c r="C18" i="5"/>
  <c r="C11"/>
  <c r="L55" i="1" l="1"/>
  <c r="K56"/>
  <c r="F25" i="15"/>
  <c r="F31" s="1"/>
  <c r="F32" s="1"/>
  <c r="F39" s="1"/>
  <c r="F47" s="1"/>
  <c r="V63"/>
  <c r="M55" i="1" l="1"/>
  <c r="L56"/>
  <c r="F50" i="15"/>
  <c r="F51" s="1"/>
  <c r="F53"/>
  <c r="F54" s="1"/>
  <c r="F55" s="1"/>
  <c r="F58" s="1"/>
  <c r="F67" s="1"/>
  <c r="F69" s="1"/>
  <c r="F70" s="1"/>
  <c r="N55" i="1" l="1"/>
  <c r="M56"/>
  <c r="C82" i="7"/>
  <c r="C63"/>
  <c r="C54"/>
  <c r="C45"/>
  <c r="C31"/>
  <c r="C21"/>
  <c r="C11"/>
  <c r="C9"/>
  <c r="B7"/>
  <c r="C71" i="6"/>
  <c r="C61"/>
  <c r="C51"/>
  <c r="C42"/>
  <c r="C40"/>
  <c r="C30"/>
  <c r="C20"/>
  <c r="C11"/>
  <c r="C9"/>
  <c r="B7"/>
  <c r="C192" i="2"/>
  <c r="C182"/>
  <c r="C175"/>
  <c r="C173"/>
  <c r="C165"/>
  <c r="C157"/>
  <c r="C155"/>
  <c r="C147"/>
  <c r="C131"/>
  <c r="C116"/>
  <c r="C101"/>
  <c r="C41"/>
  <c r="C39"/>
  <c r="C31"/>
  <c r="C24"/>
  <c r="C22"/>
  <c r="C16"/>
  <c r="C9"/>
  <c r="B7"/>
  <c r="C134" i="5"/>
  <c r="C129"/>
  <c r="C124"/>
  <c r="C122"/>
  <c r="C116"/>
  <c r="C106"/>
  <c r="C100"/>
  <c r="C94"/>
  <c r="C86"/>
  <c r="C79"/>
  <c r="C77"/>
  <c r="C69"/>
  <c r="C62"/>
  <c r="C60"/>
  <c r="C54"/>
  <c r="C46"/>
  <c r="C39"/>
  <c r="C32"/>
  <c r="C30"/>
  <c r="C24"/>
  <c r="C9"/>
  <c r="B7"/>
  <c r="C50" i="1"/>
  <c r="C43"/>
  <c r="C26"/>
  <c r="C9"/>
  <c r="B7"/>
  <c r="O55" l="1"/>
  <c r="N56"/>
  <c r="G27" i="5"/>
  <c r="H27" s="1"/>
  <c r="I27" s="1"/>
  <c r="J27" s="1"/>
  <c r="K27" s="1"/>
  <c r="L27" s="1"/>
  <c r="M27" s="1"/>
  <c r="N27" s="1"/>
  <c r="O27" s="1"/>
  <c r="P27" s="1"/>
  <c r="Q27" s="1"/>
  <c r="R27" s="1"/>
  <c r="S27" s="1"/>
  <c r="T27" s="1"/>
  <c r="P55" i="1" l="1"/>
  <c r="O56"/>
  <c r="G12" i="15"/>
  <c r="H12" s="1"/>
  <c r="H65"/>
  <c r="I65" s="1"/>
  <c r="J65" s="1"/>
  <c r="K65" s="1"/>
  <c r="L65" s="1"/>
  <c r="M65" s="1"/>
  <c r="N65" s="1"/>
  <c r="O65" s="1"/>
  <c r="P65" s="1"/>
  <c r="Q65" s="1"/>
  <c r="R65" s="1"/>
  <c r="S65" s="1"/>
  <c r="T65" s="1"/>
  <c r="U65" s="1"/>
  <c r="F61"/>
  <c r="F60"/>
  <c r="F59"/>
  <c r="G62" i="8"/>
  <c r="G40"/>
  <c r="E90"/>
  <c r="E91" s="1"/>
  <c r="E92" s="1"/>
  <c r="E93" s="1"/>
  <c r="H88"/>
  <c r="I88" s="1"/>
  <c r="J88" s="1"/>
  <c r="K88" s="1"/>
  <c r="L88" s="1"/>
  <c r="M88" s="1"/>
  <c r="N88" s="1"/>
  <c r="O88" s="1"/>
  <c r="P88" s="1"/>
  <c r="Q88" s="1"/>
  <c r="R88" s="1"/>
  <c r="S88" s="1"/>
  <c r="T88" s="1"/>
  <c r="U88" s="1"/>
  <c r="F19" i="15"/>
  <c r="F18"/>
  <c r="F16" i="16"/>
  <c r="E94" i="8" l="1"/>
  <c r="E95" s="1"/>
  <c r="Q55" i="1"/>
  <c r="P56"/>
  <c r="I12" i="15"/>
  <c r="J12" s="1"/>
  <c r="K12" s="1"/>
  <c r="L12" s="1"/>
  <c r="M12" s="1"/>
  <c r="N12" s="1"/>
  <c r="O12" s="1"/>
  <c r="P12" s="1"/>
  <c r="Q12" s="1"/>
  <c r="R12" s="1"/>
  <c r="S12" s="1"/>
  <c r="T12" s="1"/>
  <c r="U12" s="1"/>
  <c r="C7"/>
  <c r="H9"/>
  <c r="I9" s="1"/>
  <c r="J9" s="1"/>
  <c r="K9" s="1"/>
  <c r="L9" s="1"/>
  <c r="M9" s="1"/>
  <c r="N9" s="1"/>
  <c r="O9" s="1"/>
  <c r="P9" s="1"/>
  <c r="Q9" s="1"/>
  <c r="R9" s="1"/>
  <c r="S9" s="1"/>
  <c r="T9" s="1"/>
  <c r="U9" s="1"/>
  <c r="C356" i="9"/>
  <c r="C341"/>
  <c r="C308"/>
  <c r="C293"/>
  <c r="C278"/>
  <c r="D48" i="1"/>
  <c r="D47"/>
  <c r="D46"/>
  <c r="G45"/>
  <c r="H45" s="1"/>
  <c r="I45" s="1"/>
  <c r="J45" s="1"/>
  <c r="K45" s="1"/>
  <c r="L45" s="1"/>
  <c r="M45" s="1"/>
  <c r="N45" s="1"/>
  <c r="O45" s="1"/>
  <c r="P45" s="1"/>
  <c r="Q45" s="1"/>
  <c r="R45" s="1"/>
  <c r="S45" s="1"/>
  <c r="T45" s="1"/>
  <c r="D151" i="2"/>
  <c r="D150"/>
  <c r="F151"/>
  <c r="F152" s="1"/>
  <c r="R55" i="1" l="1"/>
  <c r="Q56"/>
  <c r="S55" l="1"/>
  <c r="R56"/>
  <c r="T55" l="1"/>
  <c r="T56" s="1"/>
  <c r="S56"/>
  <c r="H71" i="8" l="1"/>
  <c r="I71" s="1"/>
  <c r="J71" s="1"/>
  <c r="K71" s="1"/>
  <c r="L71" s="1"/>
  <c r="M71" s="1"/>
  <c r="N71" s="1"/>
  <c r="O71" s="1"/>
  <c r="P71" s="1"/>
  <c r="Q71" s="1"/>
  <c r="R71" s="1"/>
  <c r="S71" s="1"/>
  <c r="T71" s="1"/>
  <c r="U71" s="1"/>
  <c r="G137" i="5"/>
  <c r="H137" s="1"/>
  <c r="I137" s="1"/>
  <c r="J137" s="1"/>
  <c r="K137" s="1"/>
  <c r="L137" s="1"/>
  <c r="M137" s="1"/>
  <c r="N137" s="1"/>
  <c r="O137" s="1"/>
  <c r="P137" s="1"/>
  <c r="Q137" s="1"/>
  <c r="R137" s="1"/>
  <c r="S137" s="1"/>
  <c r="T137" s="1"/>
  <c r="U64" i="8" s="1"/>
  <c r="H57"/>
  <c r="I57" s="1"/>
  <c r="J57" s="1"/>
  <c r="K57" s="1"/>
  <c r="L57" s="1"/>
  <c r="M57" s="1"/>
  <c r="N57" s="1"/>
  <c r="O57" s="1"/>
  <c r="P57" s="1"/>
  <c r="Q57" s="1"/>
  <c r="R57" s="1"/>
  <c r="S57" s="1"/>
  <c r="T57" s="1"/>
  <c r="U57" s="1"/>
  <c r="G50"/>
  <c r="G132" i="5"/>
  <c r="H132" s="1"/>
  <c r="I132" s="1"/>
  <c r="J132" s="1"/>
  <c r="K132" s="1"/>
  <c r="L132" s="1"/>
  <c r="M132" s="1"/>
  <c r="N132" s="1"/>
  <c r="O132" s="1"/>
  <c r="P132" s="1"/>
  <c r="Q132" s="1"/>
  <c r="R132" s="1"/>
  <c r="S132" s="1"/>
  <c r="T132" s="1"/>
  <c r="U50" i="8" s="1"/>
  <c r="G131" i="5"/>
  <c r="H131" s="1"/>
  <c r="I131" s="1"/>
  <c r="J131" s="1"/>
  <c r="K131" s="1"/>
  <c r="L131" s="1"/>
  <c r="M131" s="1"/>
  <c r="N131" s="1"/>
  <c r="O131" s="1"/>
  <c r="P131" s="1"/>
  <c r="Q131" s="1"/>
  <c r="R131" s="1"/>
  <c r="S131" s="1"/>
  <c r="T131" s="1"/>
  <c r="H48" i="8"/>
  <c r="I48" s="1"/>
  <c r="J48" s="1"/>
  <c r="K48" s="1"/>
  <c r="L48" s="1"/>
  <c r="M48" s="1"/>
  <c r="N48" s="1"/>
  <c r="O48" s="1"/>
  <c r="P48" s="1"/>
  <c r="Q48" s="1"/>
  <c r="R48" s="1"/>
  <c r="S48" s="1"/>
  <c r="T48" s="1"/>
  <c r="U48" s="1"/>
  <c r="G136" i="5"/>
  <c r="H136" s="1"/>
  <c r="I136" s="1"/>
  <c r="J136" s="1"/>
  <c r="K136" s="1"/>
  <c r="L136" s="1"/>
  <c r="M136" s="1"/>
  <c r="N136" s="1"/>
  <c r="O136" s="1"/>
  <c r="P136" s="1"/>
  <c r="Q136" s="1"/>
  <c r="R136" s="1"/>
  <c r="S136" s="1"/>
  <c r="T136" s="1"/>
  <c r="G41" i="8"/>
  <c r="H38"/>
  <c r="I38" s="1"/>
  <c r="J38" s="1"/>
  <c r="K38" s="1"/>
  <c r="L38" s="1"/>
  <c r="M38" s="1"/>
  <c r="N38" s="1"/>
  <c r="O38" s="1"/>
  <c r="P38" s="1"/>
  <c r="Q38" s="1"/>
  <c r="R38" s="1"/>
  <c r="S38" s="1"/>
  <c r="T38" s="1"/>
  <c r="U38" s="1"/>
  <c r="E71" i="7"/>
  <c r="E68"/>
  <c r="E69" s="1"/>
  <c r="F187" i="2"/>
  <c r="F71" i="7"/>
  <c r="F70"/>
  <c r="F69"/>
  <c r="F68"/>
  <c r="F67"/>
  <c r="F49"/>
  <c r="F58"/>
  <c r="E74"/>
  <c r="E75" s="1"/>
  <c r="E76" s="1"/>
  <c r="E77" s="1"/>
  <c r="D66"/>
  <c r="G65"/>
  <c r="H65" s="1"/>
  <c r="I65" s="1"/>
  <c r="J65" s="1"/>
  <c r="K65" s="1"/>
  <c r="L65" s="1"/>
  <c r="M65" s="1"/>
  <c r="N65" s="1"/>
  <c r="O65" s="1"/>
  <c r="P65" s="1"/>
  <c r="Q65" s="1"/>
  <c r="R65" s="1"/>
  <c r="S65" s="1"/>
  <c r="T65" s="1"/>
  <c r="G127" i="5"/>
  <c r="H127" s="1"/>
  <c r="I127" s="1"/>
  <c r="J127" s="1"/>
  <c r="K127" s="1"/>
  <c r="L127" s="1"/>
  <c r="M127" s="1"/>
  <c r="N127" s="1"/>
  <c r="O127" s="1"/>
  <c r="P127" s="1"/>
  <c r="Q127" s="1"/>
  <c r="R127" s="1"/>
  <c r="S127" s="1"/>
  <c r="T127" s="1"/>
  <c r="U41" i="8" s="1"/>
  <c r="F15" i="1"/>
  <c r="E86" i="7"/>
  <c r="E87" s="1"/>
  <c r="E88" s="1"/>
  <c r="E89" s="1"/>
  <c r="G84"/>
  <c r="H84" s="1"/>
  <c r="I84" s="1"/>
  <c r="J84" s="1"/>
  <c r="K84" s="1"/>
  <c r="L84" s="1"/>
  <c r="M84" s="1"/>
  <c r="N84" s="1"/>
  <c r="O84" s="1"/>
  <c r="P84" s="1"/>
  <c r="Q84" s="1"/>
  <c r="R84" s="1"/>
  <c r="S84" s="1"/>
  <c r="T84" s="1"/>
  <c r="G126" i="5"/>
  <c r="H126" s="1"/>
  <c r="I126" s="1"/>
  <c r="J126" s="1"/>
  <c r="K126" s="1"/>
  <c r="L126" s="1"/>
  <c r="M126" s="1"/>
  <c r="N126" s="1"/>
  <c r="O126" s="1"/>
  <c r="P126" s="1"/>
  <c r="Q126" s="1"/>
  <c r="R126" s="1"/>
  <c r="S126" s="1"/>
  <c r="T126" s="1"/>
  <c r="G31" i="8"/>
  <c r="G30"/>
  <c r="G29"/>
  <c r="D31"/>
  <c r="D30"/>
  <c r="D29"/>
  <c r="D28"/>
  <c r="D27"/>
  <c r="D26"/>
  <c r="H25"/>
  <c r="I25" s="1"/>
  <c r="J25" s="1"/>
  <c r="K25" s="1"/>
  <c r="L25" s="1"/>
  <c r="M25" s="1"/>
  <c r="N25" s="1"/>
  <c r="O25" s="1"/>
  <c r="P25" s="1"/>
  <c r="Q25" s="1"/>
  <c r="R25" s="1"/>
  <c r="S25" s="1"/>
  <c r="T25" s="1"/>
  <c r="U25" s="1"/>
  <c r="G19"/>
  <c r="G18"/>
  <c r="G17"/>
  <c r="D18"/>
  <c r="D19"/>
  <c r="D17"/>
  <c r="D15"/>
  <c r="D14"/>
  <c r="D16"/>
  <c r="G56" i="7"/>
  <c r="H56" s="1"/>
  <c r="I56" s="1"/>
  <c r="J56" s="1"/>
  <c r="K56" s="1"/>
  <c r="L56" s="1"/>
  <c r="M56" s="1"/>
  <c r="N56" s="1"/>
  <c r="O56" s="1"/>
  <c r="P56" s="1"/>
  <c r="Q56" s="1"/>
  <c r="R56" s="1"/>
  <c r="S56" s="1"/>
  <c r="T56" s="1"/>
  <c r="G47"/>
  <c r="H47" s="1"/>
  <c r="I47" s="1"/>
  <c r="J47" s="1"/>
  <c r="K47" s="1"/>
  <c r="L47" s="1"/>
  <c r="M47" s="1"/>
  <c r="N47" s="1"/>
  <c r="O47" s="1"/>
  <c r="P47" s="1"/>
  <c r="Q47" s="1"/>
  <c r="R47" s="1"/>
  <c r="S47" s="1"/>
  <c r="T47" s="1"/>
  <c r="F35"/>
  <c r="D34"/>
  <c r="G33"/>
  <c r="H33" s="1"/>
  <c r="I33" s="1"/>
  <c r="J33" s="1"/>
  <c r="K33" s="1"/>
  <c r="L33" s="1"/>
  <c r="M33" s="1"/>
  <c r="N33" s="1"/>
  <c r="O33" s="1"/>
  <c r="P33" s="1"/>
  <c r="Q33" s="1"/>
  <c r="R33" s="1"/>
  <c r="S33" s="1"/>
  <c r="T33" s="1"/>
  <c r="F25"/>
  <c r="D24"/>
  <c r="G23"/>
  <c r="H23" s="1"/>
  <c r="I23" s="1"/>
  <c r="J23" s="1"/>
  <c r="K23" s="1"/>
  <c r="L23" s="1"/>
  <c r="M23" s="1"/>
  <c r="N23" s="1"/>
  <c r="O23" s="1"/>
  <c r="P23" s="1"/>
  <c r="Q23" s="1"/>
  <c r="R23" s="1"/>
  <c r="S23" s="1"/>
  <c r="T23" s="1"/>
  <c r="D19" i="3"/>
  <c r="E19"/>
  <c r="F19"/>
  <c r="G19"/>
  <c r="H19"/>
  <c r="I19"/>
  <c r="J19"/>
  <c r="K19"/>
  <c r="L19"/>
  <c r="M19"/>
  <c r="N19"/>
  <c r="O19"/>
  <c r="P19"/>
  <c r="Q19"/>
  <c r="D30"/>
  <c r="E30"/>
  <c r="F30"/>
  <c r="G30"/>
  <c r="H30"/>
  <c r="I30"/>
  <c r="J30"/>
  <c r="K30"/>
  <c r="L30"/>
  <c r="M30"/>
  <c r="N30"/>
  <c r="O30"/>
  <c r="P30"/>
  <c r="Q30"/>
  <c r="D37"/>
  <c r="E37"/>
  <c r="F37"/>
  <c r="G37"/>
  <c r="H37"/>
  <c r="I37"/>
  <c r="J37"/>
  <c r="K37"/>
  <c r="L37"/>
  <c r="M37"/>
  <c r="N37"/>
  <c r="O37"/>
  <c r="P37"/>
  <c r="Q37"/>
  <c r="D9"/>
  <c r="E9" s="1"/>
  <c r="F9" s="1"/>
  <c r="G9" s="1"/>
  <c r="H9" s="1"/>
  <c r="I9" s="1"/>
  <c r="J9" s="1"/>
  <c r="K9" s="1"/>
  <c r="L9" s="1"/>
  <c r="M9" s="1"/>
  <c r="N9" s="1"/>
  <c r="O9" s="1"/>
  <c r="P9" s="1"/>
  <c r="Q9" s="1"/>
  <c r="C37"/>
  <c r="C30"/>
  <c r="C19"/>
  <c r="I40" l="1"/>
  <c r="F66" i="7"/>
  <c r="I42" i="3"/>
  <c r="L119" i="5" s="1"/>
  <c r="L37" i="7" s="1"/>
  <c r="L40" i="3"/>
  <c r="L42" s="1"/>
  <c r="O119" i="5" s="1"/>
  <c r="O37" i="7" s="1"/>
  <c r="D40" i="3"/>
  <c r="D42" s="1"/>
  <c r="G119" i="5" s="1"/>
  <c r="G37" i="7" s="1"/>
  <c r="P40" i="3"/>
  <c r="P42" s="1"/>
  <c r="S119" i="5" s="1"/>
  <c r="S37" i="7" s="1"/>
  <c r="H40" i="3"/>
  <c r="H42" s="1"/>
  <c r="K119" i="5" s="1"/>
  <c r="K37" i="7" s="1"/>
  <c r="Q40" i="3"/>
  <c r="Q42" s="1"/>
  <c r="T119" i="5" s="1"/>
  <c r="T37" i="7" s="1"/>
  <c r="L50" i="8"/>
  <c r="P50"/>
  <c r="H50"/>
  <c r="K41"/>
  <c r="O41"/>
  <c r="S41"/>
  <c r="K50"/>
  <c r="O50"/>
  <c r="S50"/>
  <c r="G64"/>
  <c r="J64"/>
  <c r="N64"/>
  <c r="R64"/>
  <c r="H41"/>
  <c r="L41"/>
  <c r="P41"/>
  <c r="T41"/>
  <c r="T50"/>
  <c r="K64"/>
  <c r="O64"/>
  <c r="S64"/>
  <c r="I41"/>
  <c r="M41"/>
  <c r="Q41"/>
  <c r="I50"/>
  <c r="M50"/>
  <c r="Q50"/>
  <c r="H64"/>
  <c r="L64"/>
  <c r="P64"/>
  <c r="T64"/>
  <c r="J41"/>
  <c r="N41"/>
  <c r="R41"/>
  <c r="J50"/>
  <c r="N50"/>
  <c r="R50"/>
  <c r="I64"/>
  <c r="M64"/>
  <c r="Q64"/>
  <c r="F34" i="7"/>
  <c r="F72"/>
  <c r="F75" s="1"/>
  <c r="M40" i="3"/>
  <c r="M42" s="1"/>
  <c r="P119" i="5" s="1"/>
  <c r="P37" i="7" s="1"/>
  <c r="E40" i="3"/>
  <c r="E42" s="1"/>
  <c r="H119" i="5" s="1"/>
  <c r="H37" i="7" s="1"/>
  <c r="C40" i="3"/>
  <c r="C42" s="1"/>
  <c r="F119" i="5" s="1"/>
  <c r="F17" i="7" s="1"/>
  <c r="N40" i="3"/>
  <c r="N42" s="1"/>
  <c r="Q119" i="5" s="1"/>
  <c r="Q27" i="7" s="1"/>
  <c r="J40" i="3"/>
  <c r="J42" s="1"/>
  <c r="M119" i="5" s="1"/>
  <c r="M27" i="7" s="1"/>
  <c r="F40" i="3"/>
  <c r="F42" s="1"/>
  <c r="I119" i="5" s="1"/>
  <c r="I27" i="7" s="1"/>
  <c r="O40" i="3"/>
  <c r="O42" s="1"/>
  <c r="R119" i="5" s="1"/>
  <c r="R27" i="7" s="1"/>
  <c r="K40" i="3"/>
  <c r="K42" s="1"/>
  <c r="N119" i="5" s="1"/>
  <c r="G40" i="3"/>
  <c r="G42" s="1"/>
  <c r="J119" i="5" s="1"/>
  <c r="J27" i="7" s="1"/>
  <c r="L27" l="1"/>
  <c r="L17"/>
  <c r="I37"/>
  <c r="M17"/>
  <c r="K27"/>
  <c r="N27"/>
  <c r="N17"/>
  <c r="N37"/>
  <c r="Q17"/>
  <c r="P27"/>
  <c r="P17"/>
  <c r="M37"/>
  <c r="J17"/>
  <c r="O17"/>
  <c r="S17"/>
  <c r="H27"/>
  <c r="R17"/>
  <c r="S27"/>
  <c r="R37"/>
  <c r="I17"/>
  <c r="H17"/>
  <c r="J37"/>
  <c r="T27"/>
  <c r="T17"/>
  <c r="Q37"/>
  <c r="O27"/>
  <c r="K17"/>
  <c r="G17"/>
  <c r="G27"/>
  <c r="F27"/>
  <c r="F37"/>
  <c r="F74"/>
  <c r="F76"/>
  <c r="F73"/>
  <c r="F77"/>
  <c r="F78" l="1"/>
  <c r="F79" l="1"/>
  <c r="F90"/>
  <c r="G38" i="15" s="1"/>
  <c r="G118" i="5"/>
  <c r="H118" s="1"/>
  <c r="I118" s="1"/>
  <c r="J118" s="1"/>
  <c r="K118" s="1"/>
  <c r="L118" s="1"/>
  <c r="M118" s="1"/>
  <c r="N118" s="1"/>
  <c r="O118" s="1"/>
  <c r="P118" s="1"/>
  <c r="Q118" s="1"/>
  <c r="R118" s="1"/>
  <c r="S118" s="1"/>
  <c r="T118" s="1"/>
  <c r="F16" i="7"/>
  <c r="F15"/>
  <c r="D14"/>
  <c r="D14" i="6"/>
  <c r="C9" i="11" l="1"/>
  <c r="C41"/>
  <c r="C25"/>
  <c r="E55"/>
  <c r="G43"/>
  <c r="H43" s="1"/>
  <c r="I43" s="1"/>
  <c r="J43" s="1"/>
  <c r="K43" s="1"/>
  <c r="L43" s="1"/>
  <c r="M43" s="1"/>
  <c r="N43" s="1"/>
  <c r="O43" s="1"/>
  <c r="P43" s="1"/>
  <c r="Q43" s="1"/>
  <c r="R43" s="1"/>
  <c r="S43" s="1"/>
  <c r="T43" s="1"/>
  <c r="E39"/>
  <c r="G27"/>
  <c r="H27" s="1"/>
  <c r="I27" s="1"/>
  <c r="J27" s="1"/>
  <c r="K27" s="1"/>
  <c r="L27" s="1"/>
  <c r="M27" s="1"/>
  <c r="N27" s="1"/>
  <c r="O27" s="1"/>
  <c r="P27" s="1"/>
  <c r="Q27" s="1"/>
  <c r="R27" s="1"/>
  <c r="S27" s="1"/>
  <c r="T27" s="1"/>
  <c r="E23"/>
  <c r="G11"/>
  <c r="H11" l="1"/>
  <c r="I11" l="1"/>
  <c r="J11" l="1"/>
  <c r="K11" l="1"/>
  <c r="L11" l="1"/>
  <c r="M11" l="1"/>
  <c r="N11" l="1"/>
  <c r="O11" l="1"/>
  <c r="P11" l="1"/>
  <c r="Q11" l="1"/>
  <c r="R11" l="1"/>
  <c r="S11" l="1"/>
  <c r="T11" l="1"/>
  <c r="H133" i="2" l="1"/>
  <c r="I133" s="1"/>
  <c r="J133" s="1"/>
  <c r="K133" s="1"/>
  <c r="L133" s="1"/>
  <c r="M133" s="1"/>
  <c r="N133" s="1"/>
  <c r="O133" s="1"/>
  <c r="P133" s="1"/>
  <c r="Q133" s="1"/>
  <c r="R133" s="1"/>
  <c r="S133" s="1"/>
  <c r="T133" s="1"/>
  <c r="U133" s="1"/>
  <c r="H118"/>
  <c r="I118" s="1"/>
  <c r="J118" s="1"/>
  <c r="K118" s="1"/>
  <c r="L118" s="1"/>
  <c r="M118" s="1"/>
  <c r="N118" s="1"/>
  <c r="O118" s="1"/>
  <c r="P118" s="1"/>
  <c r="Q118" s="1"/>
  <c r="R118" s="1"/>
  <c r="S118" s="1"/>
  <c r="T118" s="1"/>
  <c r="U118" s="1"/>
  <c r="H103"/>
  <c r="I103" s="1"/>
  <c r="J103" s="1"/>
  <c r="K103" s="1"/>
  <c r="L103" s="1"/>
  <c r="M103" s="1"/>
  <c r="N103" s="1"/>
  <c r="O103" s="1"/>
  <c r="P103" s="1"/>
  <c r="Q103" s="1"/>
  <c r="R103" s="1"/>
  <c r="S103" s="1"/>
  <c r="T103" s="1"/>
  <c r="U103" s="1"/>
  <c r="F295" i="9"/>
  <c r="E310" l="1"/>
  <c r="F310"/>
  <c r="E280"/>
  <c r="F280"/>
  <c r="E295"/>
  <c r="F305"/>
  <c r="F281"/>
  <c r="F289"/>
  <c r="F311" l="1"/>
  <c r="E305"/>
  <c r="E281"/>
  <c r="E289"/>
  <c r="F312"/>
  <c r="F297"/>
  <c r="F282"/>
  <c r="F290"/>
  <c r="D44" i="2"/>
  <c r="G99"/>
  <c r="G98"/>
  <c r="G97"/>
  <c r="AA387" i="9"/>
  <c r="AB387" s="1"/>
  <c r="AC387" s="1"/>
  <c r="AD387" s="1"/>
  <c r="AE387" s="1"/>
  <c r="AF387" s="1"/>
  <c r="AG387" s="1"/>
  <c r="AH387" s="1"/>
  <c r="AI387" s="1"/>
  <c r="AJ387" s="1"/>
  <c r="AK387" s="1"/>
  <c r="AL387" s="1"/>
  <c r="AM387" s="1"/>
  <c r="AN387" s="1"/>
  <c r="G373"/>
  <c r="H373" s="1"/>
  <c r="I373" s="1"/>
  <c r="J373" s="1"/>
  <c r="K373" s="1"/>
  <c r="L373" s="1"/>
  <c r="M373" s="1"/>
  <c r="N373" s="1"/>
  <c r="O373" s="1"/>
  <c r="P373" s="1"/>
  <c r="Q373" s="1"/>
  <c r="R373" s="1"/>
  <c r="S373" s="1"/>
  <c r="T373" s="1"/>
  <c r="G357"/>
  <c r="H357" s="1"/>
  <c r="I357" s="1"/>
  <c r="J357" s="1"/>
  <c r="K357" s="1"/>
  <c r="L357" s="1"/>
  <c r="M357" s="1"/>
  <c r="N357" s="1"/>
  <c r="O357" s="1"/>
  <c r="P357" s="1"/>
  <c r="Q357" s="1"/>
  <c r="R357" s="1"/>
  <c r="S357" s="1"/>
  <c r="T357" s="1"/>
  <c r="G342"/>
  <c r="H342" s="1"/>
  <c r="I342" s="1"/>
  <c r="J342" s="1"/>
  <c r="K342" s="1"/>
  <c r="L342" s="1"/>
  <c r="M342" s="1"/>
  <c r="N342" s="1"/>
  <c r="O342" s="1"/>
  <c r="P342" s="1"/>
  <c r="Q342" s="1"/>
  <c r="R342" s="1"/>
  <c r="S342" s="1"/>
  <c r="T342" s="1"/>
  <c r="G327"/>
  <c r="H327" s="1"/>
  <c r="I327" s="1"/>
  <c r="J327" s="1"/>
  <c r="K327" s="1"/>
  <c r="L327" s="1"/>
  <c r="M327" s="1"/>
  <c r="N327" s="1"/>
  <c r="O327" s="1"/>
  <c r="P327" s="1"/>
  <c r="Q327" s="1"/>
  <c r="R327" s="1"/>
  <c r="S327" s="1"/>
  <c r="T327" s="1"/>
  <c r="G309"/>
  <c r="H309" s="1"/>
  <c r="I309" s="1"/>
  <c r="J309" s="1"/>
  <c r="K309" s="1"/>
  <c r="L309" s="1"/>
  <c r="M309" s="1"/>
  <c r="N309" s="1"/>
  <c r="O309" s="1"/>
  <c r="P309" s="1"/>
  <c r="Q309" s="1"/>
  <c r="R309" s="1"/>
  <c r="S309" s="1"/>
  <c r="T309" s="1"/>
  <c r="G294"/>
  <c r="H294" s="1"/>
  <c r="I294" s="1"/>
  <c r="J294" s="1"/>
  <c r="K294" s="1"/>
  <c r="L294" s="1"/>
  <c r="M294" s="1"/>
  <c r="N294" s="1"/>
  <c r="O294" s="1"/>
  <c r="P294" s="1"/>
  <c r="Q294" s="1"/>
  <c r="R294" s="1"/>
  <c r="S294" s="1"/>
  <c r="T294" s="1"/>
  <c r="G279"/>
  <c r="H279" s="1"/>
  <c r="I279" s="1"/>
  <c r="J279" s="1"/>
  <c r="K279" s="1"/>
  <c r="L279" s="1"/>
  <c r="M279" s="1"/>
  <c r="N279" s="1"/>
  <c r="O279" s="1"/>
  <c r="P279" s="1"/>
  <c r="Q279" s="1"/>
  <c r="R279" s="1"/>
  <c r="S279" s="1"/>
  <c r="T279" s="1"/>
  <c r="G246"/>
  <c r="G216"/>
  <c r="H216" s="1"/>
  <c r="I216" s="1"/>
  <c r="J216" s="1"/>
  <c r="K216" s="1"/>
  <c r="L216" s="1"/>
  <c r="M216" s="1"/>
  <c r="N216" s="1"/>
  <c r="O216" s="1"/>
  <c r="P216" s="1"/>
  <c r="Q216" s="1"/>
  <c r="R216" s="1"/>
  <c r="S216" s="1"/>
  <c r="T216" s="1"/>
  <c r="G186"/>
  <c r="H246" l="1"/>
  <c r="I246" s="1"/>
  <c r="J246" s="1"/>
  <c r="K246" s="1"/>
  <c r="L246" s="1"/>
  <c r="M246" s="1"/>
  <c r="N246" s="1"/>
  <c r="O246" s="1"/>
  <c r="P246" s="1"/>
  <c r="Q246" s="1"/>
  <c r="R246" s="1"/>
  <c r="S246" s="1"/>
  <c r="T246" s="1"/>
  <c r="E311"/>
  <c r="E296"/>
  <c r="F296"/>
  <c r="E290"/>
  <c r="E282"/>
  <c r="E297"/>
  <c r="E312"/>
  <c r="H186"/>
  <c r="G107" i="2"/>
  <c r="G104"/>
  <c r="G105"/>
  <c r="G106"/>
  <c r="G119"/>
  <c r="E232" i="9" s="1"/>
  <c r="G122" i="2"/>
  <c r="E235" i="9" s="1"/>
  <c r="G121" i="2"/>
  <c r="E234" i="9" s="1"/>
  <c r="G120" i="2"/>
  <c r="E233" i="9" s="1"/>
  <c r="G135" i="2"/>
  <c r="E263" i="9" s="1"/>
  <c r="G137" i="2"/>
  <c r="E265" i="9" s="1"/>
  <c r="G136" i="2"/>
  <c r="E264" i="9" s="1"/>
  <c r="G134" i="2"/>
  <c r="E262" i="9" s="1"/>
  <c r="G108" i="2"/>
  <c r="G138"/>
  <c r="E266" i="9" s="1"/>
  <c r="G123" i="2"/>
  <c r="E236" i="9" s="1"/>
  <c r="X181"/>
  <c r="X180"/>
  <c r="X179"/>
  <c r="AA178"/>
  <c r="AB178" s="1"/>
  <c r="AC178" s="1"/>
  <c r="AD178" s="1"/>
  <c r="AE178" s="1"/>
  <c r="AF178" s="1"/>
  <c r="AG178" s="1"/>
  <c r="AH178" s="1"/>
  <c r="AI178" s="1"/>
  <c r="AJ178" s="1"/>
  <c r="AK178" s="1"/>
  <c r="AL178" s="1"/>
  <c r="AM178" s="1"/>
  <c r="AN178" s="1"/>
  <c r="C161"/>
  <c r="T149"/>
  <c r="S149"/>
  <c r="R149"/>
  <c r="Q149"/>
  <c r="P149"/>
  <c r="O149"/>
  <c r="N149"/>
  <c r="M149"/>
  <c r="L149"/>
  <c r="K149"/>
  <c r="J149"/>
  <c r="I149"/>
  <c r="H149"/>
  <c r="G149"/>
  <c r="T133"/>
  <c r="S133"/>
  <c r="R133"/>
  <c r="Q133"/>
  <c r="P133"/>
  <c r="O133"/>
  <c r="N133"/>
  <c r="M133"/>
  <c r="L133"/>
  <c r="K133"/>
  <c r="J133"/>
  <c r="I133"/>
  <c r="H133"/>
  <c r="G133"/>
  <c r="T117"/>
  <c r="S117"/>
  <c r="R117"/>
  <c r="Q117"/>
  <c r="P117"/>
  <c r="O117"/>
  <c r="N117"/>
  <c r="M117"/>
  <c r="L117"/>
  <c r="K117"/>
  <c r="J117"/>
  <c r="I117"/>
  <c r="H117"/>
  <c r="G117"/>
  <c r="C145"/>
  <c r="C129"/>
  <c r="C110"/>
  <c r="C94"/>
  <c r="C78"/>
  <c r="C59"/>
  <c r="C43"/>
  <c r="C27"/>
  <c r="C13"/>
  <c r="E159"/>
  <c r="F159" s="1"/>
  <c r="E158"/>
  <c r="E157"/>
  <c r="F157" s="1"/>
  <c r="E156"/>
  <c r="F156" s="1"/>
  <c r="E155"/>
  <c r="F155" s="1"/>
  <c r="E154"/>
  <c r="F154" s="1"/>
  <c r="E153"/>
  <c r="F153" s="1"/>
  <c r="E151"/>
  <c r="F151" s="1"/>
  <c r="E150"/>
  <c r="F150" s="1"/>
  <c r="E149"/>
  <c r="F149" s="1"/>
  <c r="F358" s="1"/>
  <c r="E358" s="1"/>
  <c r="E143"/>
  <c r="F143" s="1"/>
  <c r="F353" s="1"/>
  <c r="E353" s="1"/>
  <c r="E142"/>
  <c r="F142" s="1"/>
  <c r="E141"/>
  <c r="F141" s="1"/>
  <c r="E140"/>
  <c r="E139"/>
  <c r="F139" s="1"/>
  <c r="E138"/>
  <c r="F138" s="1"/>
  <c r="E137"/>
  <c r="F137" s="1"/>
  <c r="E135"/>
  <c r="F135" s="1"/>
  <c r="E134"/>
  <c r="F134" s="1"/>
  <c r="F344" s="1"/>
  <c r="E344" s="1"/>
  <c r="E133"/>
  <c r="F133" s="1"/>
  <c r="E127"/>
  <c r="F127" s="1"/>
  <c r="F338" s="1"/>
  <c r="E338" s="1"/>
  <c r="E126"/>
  <c r="F126" s="1"/>
  <c r="F337" s="1"/>
  <c r="E337" s="1"/>
  <c r="E125"/>
  <c r="F125" s="1"/>
  <c r="E124"/>
  <c r="F124" s="1"/>
  <c r="E123"/>
  <c r="F123" s="1"/>
  <c r="E122"/>
  <c r="F122" s="1"/>
  <c r="E121"/>
  <c r="F121" s="1"/>
  <c r="E119"/>
  <c r="F119" s="1"/>
  <c r="F330" s="1"/>
  <c r="E330" s="1"/>
  <c r="E118"/>
  <c r="F118" s="1"/>
  <c r="E117"/>
  <c r="G165"/>
  <c r="H165" s="1"/>
  <c r="I165" s="1"/>
  <c r="J165" s="1"/>
  <c r="K165" s="1"/>
  <c r="L165" s="1"/>
  <c r="M165" s="1"/>
  <c r="N165" s="1"/>
  <c r="O165" s="1"/>
  <c r="P165" s="1"/>
  <c r="Q165" s="1"/>
  <c r="R165" s="1"/>
  <c r="S165" s="1"/>
  <c r="T165" s="1"/>
  <c r="C147"/>
  <c r="C131"/>
  <c r="C115"/>
  <c r="G148"/>
  <c r="H148" s="1"/>
  <c r="I148" s="1"/>
  <c r="J148" s="1"/>
  <c r="K148" s="1"/>
  <c r="L148" s="1"/>
  <c r="M148" s="1"/>
  <c r="N148" s="1"/>
  <c r="O148" s="1"/>
  <c r="P148" s="1"/>
  <c r="Q148" s="1"/>
  <c r="R148" s="1"/>
  <c r="S148" s="1"/>
  <c r="T148" s="1"/>
  <c r="G132"/>
  <c r="H132" s="1"/>
  <c r="I132" s="1"/>
  <c r="J132" s="1"/>
  <c r="K132" s="1"/>
  <c r="L132" s="1"/>
  <c r="M132" s="1"/>
  <c r="N132" s="1"/>
  <c r="O132" s="1"/>
  <c r="P132" s="1"/>
  <c r="Q132" s="1"/>
  <c r="R132" s="1"/>
  <c r="S132" s="1"/>
  <c r="T132" s="1"/>
  <c r="G116"/>
  <c r="H116" s="1"/>
  <c r="I116" s="1"/>
  <c r="J116" s="1"/>
  <c r="K116" s="1"/>
  <c r="L116" s="1"/>
  <c r="M116" s="1"/>
  <c r="N116" s="1"/>
  <c r="O116" s="1"/>
  <c r="P116" s="1"/>
  <c r="Q116" s="1"/>
  <c r="R116" s="1"/>
  <c r="S116" s="1"/>
  <c r="T116" s="1"/>
  <c r="C96"/>
  <c r="C80"/>
  <c r="C64"/>
  <c r="T109"/>
  <c r="T110" s="1"/>
  <c r="S109"/>
  <c r="S110" s="1"/>
  <c r="R109"/>
  <c r="R110" s="1"/>
  <c r="Q109"/>
  <c r="Q110" s="1"/>
  <c r="P109"/>
  <c r="P110" s="1"/>
  <c r="O109"/>
  <c r="O110" s="1"/>
  <c r="N109"/>
  <c r="N110" s="1"/>
  <c r="M109"/>
  <c r="M110" s="1"/>
  <c r="L109"/>
  <c r="L110" s="1"/>
  <c r="K109"/>
  <c r="K110" s="1"/>
  <c r="J109"/>
  <c r="J110" s="1"/>
  <c r="I109"/>
  <c r="I110" s="1"/>
  <c r="H109"/>
  <c r="H110" s="1"/>
  <c r="G109"/>
  <c r="G110" s="1"/>
  <c r="F109"/>
  <c r="F110" s="1"/>
  <c r="E109"/>
  <c r="E110" s="1"/>
  <c r="G97"/>
  <c r="H97" s="1"/>
  <c r="I97" s="1"/>
  <c r="J97" s="1"/>
  <c r="K97" s="1"/>
  <c r="L97" s="1"/>
  <c r="M97" s="1"/>
  <c r="N97" s="1"/>
  <c r="O97" s="1"/>
  <c r="P97" s="1"/>
  <c r="Q97" s="1"/>
  <c r="R97" s="1"/>
  <c r="S97" s="1"/>
  <c r="T97" s="1"/>
  <c r="T93"/>
  <c r="T94" s="1"/>
  <c r="S93"/>
  <c r="S94" s="1"/>
  <c r="R93"/>
  <c r="R94" s="1"/>
  <c r="Q93"/>
  <c r="Q94" s="1"/>
  <c r="P93"/>
  <c r="P94" s="1"/>
  <c r="O93"/>
  <c r="O94" s="1"/>
  <c r="N93"/>
  <c r="N94" s="1"/>
  <c r="M93"/>
  <c r="M94" s="1"/>
  <c r="L93"/>
  <c r="L94" s="1"/>
  <c r="K93"/>
  <c r="K94" s="1"/>
  <c r="J93"/>
  <c r="J94" s="1"/>
  <c r="I93"/>
  <c r="I94" s="1"/>
  <c r="H93"/>
  <c r="H94" s="1"/>
  <c r="G93"/>
  <c r="G94" s="1"/>
  <c r="F93"/>
  <c r="F94" s="1"/>
  <c r="E93"/>
  <c r="E94" s="1"/>
  <c r="G81"/>
  <c r="H81" s="1"/>
  <c r="I81" s="1"/>
  <c r="J81" s="1"/>
  <c r="K81" s="1"/>
  <c r="L81" s="1"/>
  <c r="M81" s="1"/>
  <c r="N81" s="1"/>
  <c r="O81" s="1"/>
  <c r="P81" s="1"/>
  <c r="Q81" s="1"/>
  <c r="R81" s="1"/>
  <c r="S81" s="1"/>
  <c r="T81" s="1"/>
  <c r="T77"/>
  <c r="T78" s="1"/>
  <c r="S77"/>
  <c r="S78" s="1"/>
  <c r="R77"/>
  <c r="R78" s="1"/>
  <c r="Q77"/>
  <c r="Q78" s="1"/>
  <c r="P77"/>
  <c r="P78" s="1"/>
  <c r="O77"/>
  <c r="O78" s="1"/>
  <c r="N77"/>
  <c r="N78" s="1"/>
  <c r="M77"/>
  <c r="M78" s="1"/>
  <c r="L77"/>
  <c r="L78" s="1"/>
  <c r="K77"/>
  <c r="K78" s="1"/>
  <c r="J77"/>
  <c r="J78" s="1"/>
  <c r="I77"/>
  <c r="I78" s="1"/>
  <c r="H77"/>
  <c r="H78" s="1"/>
  <c r="G77"/>
  <c r="G78" s="1"/>
  <c r="F77"/>
  <c r="F78" s="1"/>
  <c r="E77"/>
  <c r="E78" s="1"/>
  <c r="G65"/>
  <c r="H65" s="1"/>
  <c r="I65" s="1"/>
  <c r="J65" s="1"/>
  <c r="K65" s="1"/>
  <c r="L65" s="1"/>
  <c r="M65" s="1"/>
  <c r="N65" s="1"/>
  <c r="O65" s="1"/>
  <c r="P65" s="1"/>
  <c r="Q65" s="1"/>
  <c r="R65" s="1"/>
  <c r="S65" s="1"/>
  <c r="T65" s="1"/>
  <c r="C45"/>
  <c r="C29"/>
  <c r="T58"/>
  <c r="T59" s="1"/>
  <c r="S58"/>
  <c r="S59" s="1"/>
  <c r="R58"/>
  <c r="R59" s="1"/>
  <c r="Q58"/>
  <c r="Q59" s="1"/>
  <c r="P58"/>
  <c r="P59" s="1"/>
  <c r="O58"/>
  <c r="O59" s="1"/>
  <c r="N58"/>
  <c r="N59" s="1"/>
  <c r="M58"/>
  <c r="M59" s="1"/>
  <c r="L58"/>
  <c r="L59" s="1"/>
  <c r="K58"/>
  <c r="K59" s="1"/>
  <c r="J58"/>
  <c r="J59" s="1"/>
  <c r="I58"/>
  <c r="I59" s="1"/>
  <c r="H58"/>
  <c r="H59" s="1"/>
  <c r="G58"/>
  <c r="G59" s="1"/>
  <c r="F58"/>
  <c r="F59" s="1"/>
  <c r="G46"/>
  <c r="H46" s="1"/>
  <c r="I46" s="1"/>
  <c r="J46" s="1"/>
  <c r="K46" s="1"/>
  <c r="L46" s="1"/>
  <c r="M46" s="1"/>
  <c r="N46" s="1"/>
  <c r="O46" s="1"/>
  <c r="P46" s="1"/>
  <c r="Q46" s="1"/>
  <c r="R46" s="1"/>
  <c r="S46" s="1"/>
  <c r="T46" s="1"/>
  <c r="T42"/>
  <c r="T43" s="1"/>
  <c r="S42"/>
  <c r="S43" s="1"/>
  <c r="R42"/>
  <c r="R43" s="1"/>
  <c r="Q42"/>
  <c r="Q43" s="1"/>
  <c r="P42"/>
  <c r="P43" s="1"/>
  <c r="O42"/>
  <c r="O43" s="1"/>
  <c r="N42"/>
  <c r="N43" s="1"/>
  <c r="M42"/>
  <c r="M43" s="1"/>
  <c r="L42"/>
  <c r="L43" s="1"/>
  <c r="K42"/>
  <c r="K43" s="1"/>
  <c r="J42"/>
  <c r="J43" s="1"/>
  <c r="I42"/>
  <c r="I43" s="1"/>
  <c r="H42"/>
  <c r="H43" s="1"/>
  <c r="G42"/>
  <c r="G43" s="1"/>
  <c r="F42"/>
  <c r="F43" s="1"/>
  <c r="G30"/>
  <c r="H30" s="1"/>
  <c r="I30" s="1"/>
  <c r="J30" s="1"/>
  <c r="K30" s="1"/>
  <c r="L30" s="1"/>
  <c r="M30" s="1"/>
  <c r="N30" s="1"/>
  <c r="O30" s="1"/>
  <c r="P30" s="1"/>
  <c r="Q30" s="1"/>
  <c r="R30" s="1"/>
  <c r="S30" s="1"/>
  <c r="T30" s="1"/>
  <c r="T26"/>
  <c r="T27" s="1"/>
  <c r="S26"/>
  <c r="S27" s="1"/>
  <c r="R26"/>
  <c r="R27" s="1"/>
  <c r="Q26"/>
  <c r="Q27" s="1"/>
  <c r="P26"/>
  <c r="P27" s="1"/>
  <c r="O26"/>
  <c r="O27" s="1"/>
  <c r="N26"/>
  <c r="N27" s="1"/>
  <c r="M26"/>
  <c r="M27" s="1"/>
  <c r="L26"/>
  <c r="L27" s="1"/>
  <c r="K26"/>
  <c r="K27" s="1"/>
  <c r="J26"/>
  <c r="J27" s="1"/>
  <c r="I26"/>
  <c r="I27" s="1"/>
  <c r="H26"/>
  <c r="H27" s="1"/>
  <c r="G26"/>
  <c r="G27" s="1"/>
  <c r="F26"/>
  <c r="F27" s="1"/>
  <c r="G14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H13" i="8"/>
  <c r="I13" s="1"/>
  <c r="J13" s="1"/>
  <c r="K13" s="1"/>
  <c r="L13" s="1"/>
  <c r="M13" s="1"/>
  <c r="N13" s="1"/>
  <c r="O13" s="1"/>
  <c r="P13" s="1"/>
  <c r="Q13" s="1"/>
  <c r="R13" s="1"/>
  <c r="S13" s="1"/>
  <c r="T13" s="1"/>
  <c r="U13" s="1"/>
  <c r="G13" i="7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E75" i="6"/>
  <c r="E76" s="1"/>
  <c r="G73"/>
  <c r="H73" s="1"/>
  <c r="I73" s="1"/>
  <c r="J73" s="1"/>
  <c r="K73" s="1"/>
  <c r="L73" s="1"/>
  <c r="M73" s="1"/>
  <c r="N73" s="1"/>
  <c r="O73" s="1"/>
  <c r="P73" s="1"/>
  <c r="Q73" s="1"/>
  <c r="R73" s="1"/>
  <c r="S73" s="1"/>
  <c r="T73" s="1"/>
  <c r="D66"/>
  <c r="E65"/>
  <c r="E66" s="1"/>
  <c r="E67" s="1"/>
  <c r="D65"/>
  <c r="D64"/>
  <c r="G63"/>
  <c r="H63" s="1"/>
  <c r="I63" s="1"/>
  <c r="J63" s="1"/>
  <c r="K63" s="1"/>
  <c r="L63" s="1"/>
  <c r="M63" s="1"/>
  <c r="N63" s="1"/>
  <c r="O63" s="1"/>
  <c r="P63" s="1"/>
  <c r="Q63" s="1"/>
  <c r="R63" s="1"/>
  <c r="S63" s="1"/>
  <c r="T63" s="1"/>
  <c r="D56"/>
  <c r="E55"/>
  <c r="E56" s="1"/>
  <c r="E57" s="1"/>
  <c r="D55"/>
  <c r="D54"/>
  <c r="G53"/>
  <c r="H53" s="1"/>
  <c r="I53" s="1"/>
  <c r="J53" s="1"/>
  <c r="K53" s="1"/>
  <c r="L53" s="1"/>
  <c r="M53" s="1"/>
  <c r="N53" s="1"/>
  <c r="O53" s="1"/>
  <c r="P53" s="1"/>
  <c r="Q53" s="1"/>
  <c r="R53" s="1"/>
  <c r="S53" s="1"/>
  <c r="T53" s="1"/>
  <c r="D47"/>
  <c r="E46"/>
  <c r="E47" s="1"/>
  <c r="E48" s="1"/>
  <c r="D46"/>
  <c r="D45"/>
  <c r="G44"/>
  <c r="H44" s="1"/>
  <c r="I44" s="1"/>
  <c r="J44" s="1"/>
  <c r="K44" s="1"/>
  <c r="L44" s="1"/>
  <c r="M44" s="1"/>
  <c r="N44" s="1"/>
  <c r="O44" s="1"/>
  <c r="P44" s="1"/>
  <c r="Q44" s="1"/>
  <c r="R44" s="1"/>
  <c r="S44" s="1"/>
  <c r="T44" s="1"/>
  <c r="D35"/>
  <c r="E34"/>
  <c r="E35" s="1"/>
  <c r="E36" s="1"/>
  <c r="D34"/>
  <c r="D33"/>
  <c r="G32"/>
  <c r="H32" s="1"/>
  <c r="I32" s="1"/>
  <c r="J32" s="1"/>
  <c r="K32" s="1"/>
  <c r="L32" s="1"/>
  <c r="M32" s="1"/>
  <c r="N32" s="1"/>
  <c r="O32" s="1"/>
  <c r="P32" s="1"/>
  <c r="Q32" s="1"/>
  <c r="R32" s="1"/>
  <c r="S32" s="1"/>
  <c r="T32" s="1"/>
  <c r="G44" i="5"/>
  <c r="H44" s="1"/>
  <c r="I44" s="1"/>
  <c r="J44" s="1"/>
  <c r="K44" s="1"/>
  <c r="L44" s="1"/>
  <c r="M44" s="1"/>
  <c r="N44" s="1"/>
  <c r="O44" s="1"/>
  <c r="P44" s="1"/>
  <c r="Q44" s="1"/>
  <c r="R44" s="1"/>
  <c r="S44" s="1"/>
  <c r="T44" s="1"/>
  <c r="D44"/>
  <c r="G43"/>
  <c r="H43" s="1"/>
  <c r="I43" s="1"/>
  <c r="J43" s="1"/>
  <c r="K43" s="1"/>
  <c r="L43" s="1"/>
  <c r="M43" s="1"/>
  <c r="N43" s="1"/>
  <c r="O43" s="1"/>
  <c r="P43" s="1"/>
  <c r="Q43" s="1"/>
  <c r="R43" s="1"/>
  <c r="S43" s="1"/>
  <c r="T43" s="1"/>
  <c r="E43"/>
  <c r="E44" s="1"/>
  <c r="D43"/>
  <c r="G42"/>
  <c r="H42" s="1"/>
  <c r="I42" s="1"/>
  <c r="J42" s="1"/>
  <c r="K42" s="1"/>
  <c r="L42" s="1"/>
  <c r="M42" s="1"/>
  <c r="N42" s="1"/>
  <c r="O42" s="1"/>
  <c r="P42" s="1"/>
  <c r="Q42" s="1"/>
  <c r="R42" s="1"/>
  <c r="S42" s="1"/>
  <c r="T42" s="1"/>
  <c r="D42"/>
  <c r="G41"/>
  <c r="H41" s="1"/>
  <c r="I41" s="1"/>
  <c r="J41" s="1"/>
  <c r="K41" s="1"/>
  <c r="L41" s="1"/>
  <c r="M41" s="1"/>
  <c r="N41" s="1"/>
  <c r="O41" s="1"/>
  <c r="P41" s="1"/>
  <c r="Q41" s="1"/>
  <c r="R41" s="1"/>
  <c r="S41" s="1"/>
  <c r="T41" s="1"/>
  <c r="D25" i="6"/>
  <c r="E24"/>
  <c r="E25" s="1"/>
  <c r="E26" s="1"/>
  <c r="D24"/>
  <c r="D23"/>
  <c r="G22"/>
  <c r="H22" s="1"/>
  <c r="I22" s="1"/>
  <c r="J22" s="1"/>
  <c r="K22" s="1"/>
  <c r="L22" s="1"/>
  <c r="M22" s="1"/>
  <c r="N22" s="1"/>
  <c r="O22" s="1"/>
  <c r="P22" s="1"/>
  <c r="Q22" s="1"/>
  <c r="R22" s="1"/>
  <c r="S22" s="1"/>
  <c r="T22" s="1"/>
  <c r="D16"/>
  <c r="E16"/>
  <c r="E17" s="1"/>
  <c r="D15"/>
  <c r="G13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F206" i="9" l="1"/>
  <c r="E206"/>
  <c r="E203"/>
  <c r="F203"/>
  <c r="E205"/>
  <c r="F205"/>
  <c r="F204"/>
  <c r="E204"/>
  <c r="E202"/>
  <c r="F202"/>
  <c r="U117"/>
  <c r="U118"/>
  <c r="U150"/>
  <c r="U99" s="1"/>
  <c r="U149"/>
  <c r="U98" s="1"/>
  <c r="U134"/>
  <c r="U83" s="1"/>
  <c r="U133"/>
  <c r="U82" s="1"/>
  <c r="E283"/>
  <c r="F283"/>
  <c r="E298"/>
  <c r="F298"/>
  <c r="E313"/>
  <c r="F313"/>
  <c r="E77" i="6"/>
  <c r="E78" s="1"/>
  <c r="I118" i="9"/>
  <c r="M118"/>
  <c r="N119" s="1"/>
  <c r="Q118"/>
  <c r="K134"/>
  <c r="L135" s="1"/>
  <c r="O134"/>
  <c r="P135" s="1"/>
  <c r="S134"/>
  <c r="T135" s="1"/>
  <c r="U136" s="1"/>
  <c r="U85" s="1"/>
  <c r="I150"/>
  <c r="M150"/>
  <c r="Q150"/>
  <c r="J118"/>
  <c r="K119" s="1"/>
  <c r="N118"/>
  <c r="O119" s="1"/>
  <c r="R118"/>
  <c r="H134"/>
  <c r="I135" s="1"/>
  <c r="L134"/>
  <c r="P134"/>
  <c r="Q135" s="1"/>
  <c r="T134"/>
  <c r="U135" s="1"/>
  <c r="U84" s="1"/>
  <c r="J150"/>
  <c r="N150"/>
  <c r="R150"/>
  <c r="K118"/>
  <c r="O118"/>
  <c r="S118"/>
  <c r="I134"/>
  <c r="M134"/>
  <c r="Q134"/>
  <c r="R135" s="1"/>
  <c r="K150"/>
  <c r="O150"/>
  <c r="S150"/>
  <c r="H118"/>
  <c r="L118"/>
  <c r="P118"/>
  <c r="J134"/>
  <c r="N134"/>
  <c r="R134"/>
  <c r="H150"/>
  <c r="L150"/>
  <c r="P150"/>
  <c r="T150"/>
  <c r="U151" s="1"/>
  <c r="U100" s="1"/>
  <c r="I186"/>
  <c r="G123"/>
  <c r="G136"/>
  <c r="F345"/>
  <c r="E345" s="1"/>
  <c r="G155"/>
  <c r="G119"/>
  <c r="F329"/>
  <c r="E329" s="1"/>
  <c r="G138"/>
  <c r="G142"/>
  <c r="G151"/>
  <c r="F359"/>
  <c r="E359" s="1"/>
  <c r="G156"/>
  <c r="G125"/>
  <c r="G134"/>
  <c r="F343"/>
  <c r="E343" s="1"/>
  <c r="G143"/>
  <c r="G152"/>
  <c r="F360"/>
  <c r="G157"/>
  <c r="G140"/>
  <c r="G154"/>
  <c r="G158"/>
  <c r="T118"/>
  <c r="U119" s="1"/>
  <c r="Q166"/>
  <c r="S166"/>
  <c r="K166"/>
  <c r="G109" i="2"/>
  <c r="G124"/>
  <c r="E237" i="9" s="1"/>
  <c r="G139" i="2"/>
  <c r="E267" i="9" s="1"/>
  <c r="F314"/>
  <c r="E171"/>
  <c r="E166"/>
  <c r="E173"/>
  <c r="E175"/>
  <c r="G120"/>
  <c r="F168"/>
  <c r="F170"/>
  <c r="G122"/>
  <c r="F174"/>
  <c r="G126"/>
  <c r="F167"/>
  <c r="G135"/>
  <c r="G127"/>
  <c r="G150"/>
  <c r="G124"/>
  <c r="F172"/>
  <c r="F176"/>
  <c r="E167"/>
  <c r="O166"/>
  <c r="F140"/>
  <c r="F158"/>
  <c r="F117"/>
  <c r="F171"/>
  <c r="G139"/>
  <c r="T166"/>
  <c r="G166"/>
  <c r="R166"/>
  <c r="J166"/>
  <c r="N166"/>
  <c r="I166"/>
  <c r="M166"/>
  <c r="H166"/>
  <c r="L166"/>
  <c r="P166"/>
  <c r="E170"/>
  <c r="E174"/>
  <c r="E168"/>
  <c r="E172"/>
  <c r="E176"/>
  <c r="F35" i="1"/>
  <c r="F39" s="1"/>
  <c r="F34"/>
  <c r="F38" s="1"/>
  <c r="F37"/>
  <c r="H195" i="2"/>
  <c r="H194"/>
  <c r="I194" s="1"/>
  <c r="J194" s="1"/>
  <c r="K194" s="1"/>
  <c r="L194" s="1"/>
  <c r="M194" s="1"/>
  <c r="N194" s="1"/>
  <c r="O194" s="1"/>
  <c r="P194" s="1"/>
  <c r="Q194" s="1"/>
  <c r="R194" s="1"/>
  <c r="S194" s="1"/>
  <c r="T194" s="1"/>
  <c r="U194" s="1"/>
  <c r="G103" i="5"/>
  <c r="G102"/>
  <c r="H102" s="1"/>
  <c r="I102" s="1"/>
  <c r="J102" s="1"/>
  <c r="K102" s="1"/>
  <c r="L102" s="1"/>
  <c r="M102" s="1"/>
  <c r="N102" s="1"/>
  <c r="O102" s="1"/>
  <c r="P102" s="1"/>
  <c r="Q102" s="1"/>
  <c r="R102" s="1"/>
  <c r="S102" s="1"/>
  <c r="T102" s="1"/>
  <c r="G97"/>
  <c r="G96"/>
  <c r="H96" s="1"/>
  <c r="I96" s="1"/>
  <c r="J96" s="1"/>
  <c r="K96" s="1"/>
  <c r="L96" s="1"/>
  <c r="M96" s="1"/>
  <c r="N96" s="1"/>
  <c r="O96" s="1"/>
  <c r="P96" s="1"/>
  <c r="Q96" s="1"/>
  <c r="R96" s="1"/>
  <c r="S96" s="1"/>
  <c r="T96" s="1"/>
  <c r="E89"/>
  <c r="E90" s="1"/>
  <c r="E91" s="1"/>
  <c r="G91"/>
  <c r="G90"/>
  <c r="G89"/>
  <c r="G88"/>
  <c r="H88" s="1"/>
  <c r="I88" s="1"/>
  <c r="J88" s="1"/>
  <c r="K88" s="1"/>
  <c r="L88" s="1"/>
  <c r="M88" s="1"/>
  <c r="N88" s="1"/>
  <c r="O88" s="1"/>
  <c r="P88" s="1"/>
  <c r="Q88" s="1"/>
  <c r="R88" s="1"/>
  <c r="S88" s="1"/>
  <c r="T88" s="1"/>
  <c r="G57"/>
  <c r="D74"/>
  <c r="D73"/>
  <c r="D72"/>
  <c r="D67"/>
  <c r="D66"/>
  <c r="D65"/>
  <c r="E50"/>
  <c r="E51" s="1"/>
  <c r="G16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G15"/>
  <c r="H15" s="1"/>
  <c r="I15" s="1"/>
  <c r="J15" s="1"/>
  <c r="K15" s="1"/>
  <c r="L15" s="1"/>
  <c r="M15" s="1"/>
  <c r="N15" s="1"/>
  <c r="O15" s="1"/>
  <c r="P15" s="1"/>
  <c r="Q15" s="1"/>
  <c r="R15" s="1"/>
  <c r="S15" s="1"/>
  <c r="T15" s="1"/>
  <c r="G14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G21"/>
  <c r="H21" s="1"/>
  <c r="I21" s="1"/>
  <c r="J21" s="1"/>
  <c r="K21" s="1"/>
  <c r="L21" s="1"/>
  <c r="M21" s="1"/>
  <c r="N21" s="1"/>
  <c r="O21" s="1"/>
  <c r="P21" s="1"/>
  <c r="Q21" s="1"/>
  <c r="R21" s="1"/>
  <c r="S21" s="1"/>
  <c r="T21" s="1"/>
  <c r="E207" i="9" l="1"/>
  <c r="F207"/>
  <c r="F12" i="11"/>
  <c r="F16"/>
  <c r="F14"/>
  <c r="F15"/>
  <c r="F13"/>
  <c r="M167" i="9"/>
  <c r="J167"/>
  <c r="H167"/>
  <c r="P167"/>
  <c r="O167"/>
  <c r="N167"/>
  <c r="U68"/>
  <c r="U168"/>
  <c r="U67"/>
  <c r="U167"/>
  <c r="U66"/>
  <c r="U166"/>
  <c r="F56" i="6"/>
  <c r="F47"/>
  <c r="F48" i="1"/>
  <c r="G152" i="2" s="1"/>
  <c r="F66" i="6" s="1"/>
  <c r="F47" i="1"/>
  <c r="G151" i="2" s="1"/>
  <c r="F65" i="6" s="1"/>
  <c r="F55"/>
  <c r="F46"/>
  <c r="F46" i="1"/>
  <c r="G150" i="2" s="1"/>
  <c r="F64" i="6" s="1"/>
  <c r="F45"/>
  <c r="F54"/>
  <c r="F332" i="9"/>
  <c r="E332" s="1"/>
  <c r="F284"/>
  <c r="F347"/>
  <c r="E347" s="1"/>
  <c r="F299"/>
  <c r="F348"/>
  <c r="E348" s="1"/>
  <c r="F300"/>
  <c r="H103" i="5"/>
  <c r="G71" i="7"/>
  <c r="G58"/>
  <c r="H89" i="5"/>
  <c r="G67" i="7"/>
  <c r="H90" i="5"/>
  <c r="G68" i="7"/>
  <c r="H97" i="5"/>
  <c r="G70" i="7"/>
  <c r="G49"/>
  <c r="H57" i="5"/>
  <c r="H91"/>
  <c r="G69" i="7"/>
  <c r="I195" i="2"/>
  <c r="H73" i="8"/>
  <c r="F23" i="6"/>
  <c r="F14"/>
  <c r="F25"/>
  <c r="F16"/>
  <c r="F24"/>
  <c r="F15"/>
  <c r="E314" i="9"/>
  <c r="E375"/>
  <c r="F362"/>
  <c r="E362" s="1"/>
  <c r="E299"/>
  <c r="E284"/>
  <c r="E300"/>
  <c r="F376"/>
  <c r="E360"/>
  <c r="E376" s="1"/>
  <c r="L167"/>
  <c r="R119"/>
  <c r="S120" s="1"/>
  <c r="J119"/>
  <c r="K120" s="1"/>
  <c r="T167"/>
  <c r="S167"/>
  <c r="K167"/>
  <c r="Q167"/>
  <c r="I167"/>
  <c r="N135"/>
  <c r="O136" s="1"/>
  <c r="J136"/>
  <c r="R136"/>
  <c r="Q136"/>
  <c r="S119"/>
  <c r="T120" s="1"/>
  <c r="U121" s="1"/>
  <c r="J135"/>
  <c r="K136" s="1"/>
  <c r="M135"/>
  <c r="R167"/>
  <c r="I119"/>
  <c r="H135"/>
  <c r="I136" s="1"/>
  <c r="J186"/>
  <c r="M151"/>
  <c r="S135"/>
  <c r="K135"/>
  <c r="M119"/>
  <c r="S151"/>
  <c r="K151"/>
  <c r="T151"/>
  <c r="U152" s="1"/>
  <c r="U101" s="1"/>
  <c r="L151"/>
  <c r="T119"/>
  <c r="U120" s="1"/>
  <c r="L119"/>
  <c r="R151"/>
  <c r="R168" s="1"/>
  <c r="J151"/>
  <c r="Q151"/>
  <c r="I151"/>
  <c r="O135"/>
  <c r="Q119"/>
  <c r="O151"/>
  <c r="H124"/>
  <c r="I125" s="1"/>
  <c r="P151"/>
  <c r="P119"/>
  <c r="N151"/>
  <c r="H126"/>
  <c r="H140"/>
  <c r="H151"/>
  <c r="H136"/>
  <c r="H123"/>
  <c r="H155"/>
  <c r="H157"/>
  <c r="H143"/>
  <c r="H156"/>
  <c r="G118"/>
  <c r="G167" s="1"/>
  <c r="F328"/>
  <c r="E328" s="1"/>
  <c r="E374" s="1"/>
  <c r="H125"/>
  <c r="H127"/>
  <c r="H158"/>
  <c r="F375"/>
  <c r="G159"/>
  <c r="H121"/>
  <c r="H141"/>
  <c r="H152"/>
  <c r="H139"/>
  <c r="H120"/>
  <c r="H153"/>
  <c r="H137"/>
  <c r="G175"/>
  <c r="G168"/>
  <c r="G169"/>
  <c r="G173"/>
  <c r="G171"/>
  <c r="G140" i="2"/>
  <c r="E268" i="9" s="1"/>
  <c r="G125" i="2"/>
  <c r="E238" i="9" s="1"/>
  <c r="G110" i="2"/>
  <c r="F315" i="9"/>
  <c r="F301"/>
  <c r="F285"/>
  <c r="F166"/>
  <c r="F175"/>
  <c r="G141"/>
  <c r="F173"/>
  <c r="G172"/>
  <c r="M136"/>
  <c r="S136"/>
  <c r="P120"/>
  <c r="O120"/>
  <c r="L120"/>
  <c r="G20" i="5"/>
  <c r="H20" s="1"/>
  <c r="I20" s="1"/>
  <c r="J20" s="1"/>
  <c r="K20" s="1"/>
  <c r="L20" s="1"/>
  <c r="M20" s="1"/>
  <c r="N20" s="1"/>
  <c r="O20" s="1"/>
  <c r="P20" s="1"/>
  <c r="Q20" s="1"/>
  <c r="R20" s="1"/>
  <c r="S20" s="1"/>
  <c r="T20" s="1"/>
  <c r="D16"/>
  <c r="E15"/>
  <c r="E16" s="1"/>
  <c r="D15"/>
  <c r="D14"/>
  <c r="G13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G113"/>
  <c r="H113" s="1"/>
  <c r="I113" s="1"/>
  <c r="J113" s="1"/>
  <c r="K113" s="1"/>
  <c r="L113" s="1"/>
  <c r="M113" s="1"/>
  <c r="N113" s="1"/>
  <c r="O113" s="1"/>
  <c r="P113" s="1"/>
  <c r="Q113" s="1"/>
  <c r="R113" s="1"/>
  <c r="S113" s="1"/>
  <c r="T113" s="1"/>
  <c r="G112"/>
  <c r="H112" s="1"/>
  <c r="I112" s="1"/>
  <c r="J112" s="1"/>
  <c r="K112" s="1"/>
  <c r="L112" s="1"/>
  <c r="M112" s="1"/>
  <c r="N112" s="1"/>
  <c r="O112" s="1"/>
  <c r="P112" s="1"/>
  <c r="Q112" s="1"/>
  <c r="R112" s="1"/>
  <c r="S112" s="1"/>
  <c r="T112" s="1"/>
  <c r="G111"/>
  <c r="H111" s="1"/>
  <c r="I111" s="1"/>
  <c r="J111" s="1"/>
  <c r="K111" s="1"/>
  <c r="L111" s="1"/>
  <c r="M111" s="1"/>
  <c r="N111" s="1"/>
  <c r="O111" s="1"/>
  <c r="P111" s="1"/>
  <c r="Q111" s="1"/>
  <c r="R111" s="1"/>
  <c r="S111" s="1"/>
  <c r="T111" s="1"/>
  <c r="G110"/>
  <c r="H110" s="1"/>
  <c r="I110" s="1"/>
  <c r="J110" s="1"/>
  <c r="K110" s="1"/>
  <c r="L110" s="1"/>
  <c r="M110" s="1"/>
  <c r="N110" s="1"/>
  <c r="O110" s="1"/>
  <c r="P110" s="1"/>
  <c r="Q110" s="1"/>
  <c r="R110" s="1"/>
  <c r="S110" s="1"/>
  <c r="T110" s="1"/>
  <c r="E112"/>
  <c r="E113" s="1"/>
  <c r="G109"/>
  <c r="H109" s="1"/>
  <c r="I109" s="1"/>
  <c r="J109" s="1"/>
  <c r="K109" s="1"/>
  <c r="L109" s="1"/>
  <c r="M109" s="1"/>
  <c r="N109" s="1"/>
  <c r="O109" s="1"/>
  <c r="P109" s="1"/>
  <c r="Q109" s="1"/>
  <c r="R109" s="1"/>
  <c r="S109" s="1"/>
  <c r="T109" s="1"/>
  <c r="G108"/>
  <c r="H108" s="1"/>
  <c r="I108" s="1"/>
  <c r="J108" s="1"/>
  <c r="K108" s="1"/>
  <c r="L108" s="1"/>
  <c r="M108" s="1"/>
  <c r="N108" s="1"/>
  <c r="O108" s="1"/>
  <c r="P108" s="1"/>
  <c r="Q108" s="1"/>
  <c r="R108" s="1"/>
  <c r="S108" s="1"/>
  <c r="T108" s="1"/>
  <c r="G84"/>
  <c r="G83"/>
  <c r="E83"/>
  <c r="E84" s="1"/>
  <c r="G82"/>
  <c r="G81"/>
  <c r="H81" s="1"/>
  <c r="I81" s="1"/>
  <c r="J81" s="1"/>
  <c r="K81" s="1"/>
  <c r="L81" s="1"/>
  <c r="M81" s="1"/>
  <c r="N81" s="1"/>
  <c r="O81" s="1"/>
  <c r="P81" s="1"/>
  <c r="Q81" s="1"/>
  <c r="R81" s="1"/>
  <c r="S81" s="1"/>
  <c r="T81" s="1"/>
  <c r="G56"/>
  <c r="H56" s="1"/>
  <c r="I56" s="1"/>
  <c r="J56" s="1"/>
  <c r="K56" s="1"/>
  <c r="L56" s="1"/>
  <c r="M56" s="1"/>
  <c r="N56" s="1"/>
  <c r="O56" s="1"/>
  <c r="P56" s="1"/>
  <c r="Q56" s="1"/>
  <c r="R56" s="1"/>
  <c r="S56" s="1"/>
  <c r="T56" s="1"/>
  <c r="G74"/>
  <c r="H74" s="1"/>
  <c r="I74" s="1"/>
  <c r="J74" s="1"/>
  <c r="K74" s="1"/>
  <c r="L74" s="1"/>
  <c r="M74" s="1"/>
  <c r="N74" s="1"/>
  <c r="O74" s="1"/>
  <c r="P74" s="1"/>
  <c r="Q74" s="1"/>
  <c r="R74" s="1"/>
  <c r="S74" s="1"/>
  <c r="T74" s="1"/>
  <c r="G73"/>
  <c r="H73" s="1"/>
  <c r="I73" s="1"/>
  <c r="J73" s="1"/>
  <c r="K73" s="1"/>
  <c r="L73" s="1"/>
  <c r="M73" s="1"/>
  <c r="N73" s="1"/>
  <c r="O73" s="1"/>
  <c r="P73" s="1"/>
  <c r="Q73" s="1"/>
  <c r="R73" s="1"/>
  <c r="S73" s="1"/>
  <c r="T73" s="1"/>
  <c r="E73"/>
  <c r="E74" s="1"/>
  <c r="G72"/>
  <c r="H72" s="1"/>
  <c r="I72" s="1"/>
  <c r="J72" s="1"/>
  <c r="K72" s="1"/>
  <c r="L72" s="1"/>
  <c r="M72" s="1"/>
  <c r="N72" s="1"/>
  <c r="O72" s="1"/>
  <c r="P72" s="1"/>
  <c r="Q72" s="1"/>
  <c r="R72" s="1"/>
  <c r="S72" s="1"/>
  <c r="T72" s="1"/>
  <c r="G71"/>
  <c r="H71" s="1"/>
  <c r="I71" s="1"/>
  <c r="J71" s="1"/>
  <c r="K71" s="1"/>
  <c r="L71" s="1"/>
  <c r="M71" s="1"/>
  <c r="N71" s="1"/>
  <c r="O71" s="1"/>
  <c r="P71" s="1"/>
  <c r="Q71" s="1"/>
  <c r="R71" s="1"/>
  <c r="S71" s="1"/>
  <c r="T71" s="1"/>
  <c r="G67"/>
  <c r="H67" s="1"/>
  <c r="I67" s="1"/>
  <c r="J67" s="1"/>
  <c r="K67" s="1"/>
  <c r="L67" s="1"/>
  <c r="M67" s="1"/>
  <c r="N67" s="1"/>
  <c r="O67" s="1"/>
  <c r="P67" s="1"/>
  <c r="Q67" s="1"/>
  <c r="R67" s="1"/>
  <c r="S67" s="1"/>
  <c r="T67" s="1"/>
  <c r="G66"/>
  <c r="H66" s="1"/>
  <c r="I66" s="1"/>
  <c r="J66" s="1"/>
  <c r="K66" s="1"/>
  <c r="L66" s="1"/>
  <c r="M66" s="1"/>
  <c r="N66" s="1"/>
  <c r="O66" s="1"/>
  <c r="P66" s="1"/>
  <c r="Q66" s="1"/>
  <c r="R66" s="1"/>
  <c r="S66" s="1"/>
  <c r="T66" s="1"/>
  <c r="E66"/>
  <c r="E67" s="1"/>
  <c r="G65"/>
  <c r="G64"/>
  <c r="H64" s="1"/>
  <c r="I64" s="1"/>
  <c r="J64" s="1"/>
  <c r="K64" s="1"/>
  <c r="L64" s="1"/>
  <c r="M64" s="1"/>
  <c r="N64" s="1"/>
  <c r="O64" s="1"/>
  <c r="P64" s="1"/>
  <c r="Q64" s="1"/>
  <c r="R64" s="1"/>
  <c r="S64" s="1"/>
  <c r="T64" s="1"/>
  <c r="G51"/>
  <c r="H51" s="1"/>
  <c r="I51" s="1"/>
  <c r="J51" s="1"/>
  <c r="K51" s="1"/>
  <c r="L51" s="1"/>
  <c r="M51" s="1"/>
  <c r="N51" s="1"/>
  <c r="O51" s="1"/>
  <c r="P51" s="1"/>
  <c r="Q51" s="1"/>
  <c r="R51" s="1"/>
  <c r="S51" s="1"/>
  <c r="T51" s="1"/>
  <c r="D51"/>
  <c r="G50"/>
  <c r="H50" s="1"/>
  <c r="I50" s="1"/>
  <c r="J50" s="1"/>
  <c r="K50" s="1"/>
  <c r="L50" s="1"/>
  <c r="M50" s="1"/>
  <c r="N50" s="1"/>
  <c r="O50" s="1"/>
  <c r="P50" s="1"/>
  <c r="Q50" s="1"/>
  <c r="R50" s="1"/>
  <c r="S50" s="1"/>
  <c r="T50" s="1"/>
  <c r="D50"/>
  <c r="G49"/>
  <c r="H49" s="1"/>
  <c r="I49" s="1"/>
  <c r="J49" s="1"/>
  <c r="K49" s="1"/>
  <c r="L49" s="1"/>
  <c r="M49" s="1"/>
  <c r="N49" s="1"/>
  <c r="O49" s="1"/>
  <c r="P49" s="1"/>
  <c r="Q49" s="1"/>
  <c r="R49" s="1"/>
  <c r="S49" s="1"/>
  <c r="T49" s="1"/>
  <c r="D49"/>
  <c r="G48"/>
  <c r="H48" s="1"/>
  <c r="I48" s="1"/>
  <c r="J48" s="1"/>
  <c r="K48" s="1"/>
  <c r="L48" s="1"/>
  <c r="M48" s="1"/>
  <c r="N48" s="1"/>
  <c r="O48" s="1"/>
  <c r="P48" s="1"/>
  <c r="Q48" s="1"/>
  <c r="R48" s="1"/>
  <c r="S48" s="1"/>
  <c r="T48" s="1"/>
  <c r="G37"/>
  <c r="H37" s="1"/>
  <c r="I37" s="1"/>
  <c r="J37" s="1"/>
  <c r="K37" s="1"/>
  <c r="L37" s="1"/>
  <c r="M37" s="1"/>
  <c r="N37" s="1"/>
  <c r="O37" s="1"/>
  <c r="P37" s="1"/>
  <c r="Q37" s="1"/>
  <c r="R37" s="1"/>
  <c r="S37" s="1"/>
  <c r="T37" s="1"/>
  <c r="D37"/>
  <c r="G36"/>
  <c r="H36" s="1"/>
  <c r="I36" s="1"/>
  <c r="J36" s="1"/>
  <c r="K36" s="1"/>
  <c r="L36" s="1"/>
  <c r="M36" s="1"/>
  <c r="N36" s="1"/>
  <c r="O36" s="1"/>
  <c r="P36" s="1"/>
  <c r="Q36" s="1"/>
  <c r="R36" s="1"/>
  <c r="S36" s="1"/>
  <c r="T36" s="1"/>
  <c r="E36"/>
  <c r="E37" s="1"/>
  <c r="D36"/>
  <c r="G35"/>
  <c r="H35" s="1"/>
  <c r="I35" s="1"/>
  <c r="J35" s="1"/>
  <c r="K35" s="1"/>
  <c r="L35" s="1"/>
  <c r="M35" s="1"/>
  <c r="N35" s="1"/>
  <c r="O35" s="1"/>
  <c r="P35" s="1"/>
  <c r="Q35" s="1"/>
  <c r="R35" s="1"/>
  <c r="S35" s="1"/>
  <c r="T35" s="1"/>
  <c r="D35"/>
  <c r="G34"/>
  <c r="H34" s="1"/>
  <c r="I34" s="1"/>
  <c r="J34" s="1"/>
  <c r="K34" s="1"/>
  <c r="L34" s="1"/>
  <c r="M34" s="1"/>
  <c r="N34" s="1"/>
  <c r="O34" s="1"/>
  <c r="P34" s="1"/>
  <c r="Q34" s="1"/>
  <c r="R34" s="1"/>
  <c r="S34" s="1"/>
  <c r="T34" s="1"/>
  <c r="G26"/>
  <c r="H26" s="1"/>
  <c r="I26" s="1"/>
  <c r="J26" s="1"/>
  <c r="K26" s="1"/>
  <c r="L26" s="1"/>
  <c r="M26" s="1"/>
  <c r="N26" s="1"/>
  <c r="O26" s="1"/>
  <c r="P26" s="1"/>
  <c r="Q26" s="1"/>
  <c r="R26" s="1"/>
  <c r="S26" s="1"/>
  <c r="T26" s="1"/>
  <c r="H189" i="2"/>
  <c r="H188"/>
  <c r="I188" s="1"/>
  <c r="J188" s="1"/>
  <c r="K188" s="1"/>
  <c r="L188" s="1"/>
  <c r="M188" s="1"/>
  <c r="N188" s="1"/>
  <c r="O188" s="1"/>
  <c r="P188" s="1"/>
  <c r="Q188" s="1"/>
  <c r="R188" s="1"/>
  <c r="S188" s="1"/>
  <c r="T188" s="1"/>
  <c r="U188" s="1"/>
  <c r="H187"/>
  <c r="I187" s="1"/>
  <c r="J187" s="1"/>
  <c r="K187" s="1"/>
  <c r="L187" s="1"/>
  <c r="M187" s="1"/>
  <c r="N187" s="1"/>
  <c r="O187" s="1"/>
  <c r="P187" s="1"/>
  <c r="Q187" s="1"/>
  <c r="R187" s="1"/>
  <c r="S187" s="1"/>
  <c r="T187" s="1"/>
  <c r="U187" s="1"/>
  <c r="H186"/>
  <c r="H185"/>
  <c r="I185" s="1"/>
  <c r="J185" s="1"/>
  <c r="K185" s="1"/>
  <c r="L185" s="1"/>
  <c r="M185" s="1"/>
  <c r="N185" s="1"/>
  <c r="O185" s="1"/>
  <c r="P185" s="1"/>
  <c r="Q185" s="1"/>
  <c r="R185" s="1"/>
  <c r="S185" s="1"/>
  <c r="T185" s="1"/>
  <c r="U185" s="1"/>
  <c r="H178"/>
  <c r="H170"/>
  <c r="H169"/>
  <c r="F169"/>
  <c r="F170" s="1"/>
  <c r="D169"/>
  <c r="H168"/>
  <c r="D168"/>
  <c r="H167"/>
  <c r="I167" s="1"/>
  <c r="J167" s="1"/>
  <c r="K167" s="1"/>
  <c r="L167" s="1"/>
  <c r="M167" s="1"/>
  <c r="N167" s="1"/>
  <c r="O167" s="1"/>
  <c r="P167" s="1"/>
  <c r="Q167" s="1"/>
  <c r="R167" s="1"/>
  <c r="S167" s="1"/>
  <c r="T167" s="1"/>
  <c r="U167" s="1"/>
  <c r="H162"/>
  <c r="H161"/>
  <c r="F161"/>
  <c r="F162" s="1"/>
  <c r="D161"/>
  <c r="H160"/>
  <c r="D160"/>
  <c r="H159"/>
  <c r="I159" s="1"/>
  <c r="J159" s="1"/>
  <c r="K159" s="1"/>
  <c r="L159" s="1"/>
  <c r="M159" s="1"/>
  <c r="N159" s="1"/>
  <c r="O159" s="1"/>
  <c r="P159" s="1"/>
  <c r="Q159" s="1"/>
  <c r="R159" s="1"/>
  <c r="S159" s="1"/>
  <c r="T159" s="1"/>
  <c r="U159" s="1"/>
  <c r="F188"/>
  <c r="H184"/>
  <c r="I184" s="1"/>
  <c r="J184" s="1"/>
  <c r="K184" s="1"/>
  <c r="L184" s="1"/>
  <c r="M184" s="1"/>
  <c r="N184" s="1"/>
  <c r="O184" s="1"/>
  <c r="P184" s="1"/>
  <c r="Q184" s="1"/>
  <c r="R184" s="1"/>
  <c r="S184" s="1"/>
  <c r="T184" s="1"/>
  <c r="U184" s="1"/>
  <c r="D99"/>
  <c r="F98"/>
  <c r="F99" s="1"/>
  <c r="D98"/>
  <c r="D97"/>
  <c r="H96"/>
  <c r="I96" s="1"/>
  <c r="J96" s="1"/>
  <c r="K96" s="1"/>
  <c r="L96" s="1"/>
  <c r="M96" s="1"/>
  <c r="N96" s="1"/>
  <c r="O96" s="1"/>
  <c r="P96" s="1"/>
  <c r="Q96" s="1"/>
  <c r="R96" s="1"/>
  <c r="S96" s="1"/>
  <c r="T96" s="1"/>
  <c r="U96" s="1"/>
  <c r="M168" i="9" l="1"/>
  <c r="I168"/>
  <c r="F208"/>
  <c r="E208"/>
  <c r="F17" i="11"/>
  <c r="L168" i="9"/>
  <c r="K168"/>
  <c r="N168"/>
  <c r="S168"/>
  <c r="U70"/>
  <c r="O168"/>
  <c r="U69"/>
  <c r="U169"/>
  <c r="Q168"/>
  <c r="J168"/>
  <c r="E378"/>
  <c r="F378"/>
  <c r="I91" i="5"/>
  <c r="H69" i="7"/>
  <c r="I57" i="5"/>
  <c r="I97"/>
  <c r="H49" i="7"/>
  <c r="H70"/>
  <c r="I89" i="5"/>
  <c r="H67" i="7"/>
  <c r="I90" i="5"/>
  <c r="H68" i="7"/>
  <c r="H83" i="5"/>
  <c r="G25" i="7"/>
  <c r="I103" i="5"/>
  <c r="H71" i="7"/>
  <c r="H58"/>
  <c r="H84" i="5"/>
  <c r="G35" i="7"/>
  <c r="H82" i="5"/>
  <c r="G15" i="7"/>
  <c r="J195" i="2"/>
  <c r="I73" i="8"/>
  <c r="I189" i="2"/>
  <c r="I186"/>
  <c r="I161"/>
  <c r="H18" i="8"/>
  <c r="I169" i="2"/>
  <c r="H30" i="8"/>
  <c r="H179" i="2"/>
  <c r="F26" i="7"/>
  <c r="I160" i="2"/>
  <c r="H17" i="8"/>
  <c r="I168" i="2"/>
  <c r="H29" i="8"/>
  <c r="H180" i="2"/>
  <c r="F36" i="7"/>
  <c r="F38" s="1"/>
  <c r="I162" i="2"/>
  <c r="H19" i="8"/>
  <c r="I170" i="2"/>
  <c r="H31" i="8"/>
  <c r="I178" i="2"/>
  <c r="G16" i="7"/>
  <c r="F57" i="6"/>
  <c r="F58" s="1"/>
  <c r="F48"/>
  <c r="F17"/>
  <c r="F26"/>
  <c r="E285" i="9"/>
  <c r="F333"/>
  <c r="E301"/>
  <c r="F349"/>
  <c r="E315"/>
  <c r="F363"/>
  <c r="E363" s="1"/>
  <c r="I127"/>
  <c r="P168"/>
  <c r="Q120"/>
  <c r="R152"/>
  <c r="K152"/>
  <c r="K169" s="1"/>
  <c r="T152"/>
  <c r="U153" s="1"/>
  <c r="U102" s="1"/>
  <c r="Q152"/>
  <c r="T168"/>
  <c r="S137"/>
  <c r="P152"/>
  <c r="R120"/>
  <c r="J152"/>
  <c r="S152"/>
  <c r="S169" s="1"/>
  <c r="M120"/>
  <c r="M152"/>
  <c r="L152"/>
  <c r="L136"/>
  <c r="N152"/>
  <c r="J120"/>
  <c r="K186"/>
  <c r="R137"/>
  <c r="K137"/>
  <c r="O152"/>
  <c r="O169" s="1"/>
  <c r="P136"/>
  <c r="N120"/>
  <c r="T136"/>
  <c r="U137" s="1"/>
  <c r="U86" s="1"/>
  <c r="N136"/>
  <c r="H159"/>
  <c r="I159" s="1"/>
  <c r="H172"/>
  <c r="H174"/>
  <c r="J126"/>
  <c r="H119"/>
  <c r="G176"/>
  <c r="I154"/>
  <c r="I126"/>
  <c r="I157"/>
  <c r="I158"/>
  <c r="I140"/>
  <c r="I142"/>
  <c r="F374"/>
  <c r="H169"/>
  <c r="I141"/>
  <c r="H173"/>
  <c r="I138"/>
  <c r="I137"/>
  <c r="I121"/>
  <c r="I153"/>
  <c r="I122"/>
  <c r="H170"/>
  <c r="J137"/>
  <c r="I156"/>
  <c r="I124"/>
  <c r="I152"/>
  <c r="G111" i="2"/>
  <c r="G126"/>
  <c r="E239" i="9" s="1"/>
  <c r="G141" i="2"/>
  <c r="E269" i="9" s="1"/>
  <c r="F316"/>
  <c r="F302"/>
  <c r="F286"/>
  <c r="H142"/>
  <c r="G174"/>
  <c r="N137"/>
  <c r="L137"/>
  <c r="T137"/>
  <c r="U138" s="1"/>
  <c r="U87" s="1"/>
  <c r="P137"/>
  <c r="Q121"/>
  <c r="P121"/>
  <c r="T121"/>
  <c r="U122" s="1"/>
  <c r="L121"/>
  <c r="M121"/>
  <c r="H65" i="5"/>
  <c r="F179" i="2"/>
  <c r="F180" s="1"/>
  <c r="H177"/>
  <c r="I177" s="1"/>
  <c r="J177" s="1"/>
  <c r="K177" s="1"/>
  <c r="L177" s="1"/>
  <c r="M177" s="1"/>
  <c r="N177" s="1"/>
  <c r="O177" s="1"/>
  <c r="P177" s="1"/>
  <c r="Q177" s="1"/>
  <c r="R177" s="1"/>
  <c r="S177" s="1"/>
  <c r="T177" s="1"/>
  <c r="U177" s="1"/>
  <c r="H29"/>
  <c r="I29" s="1"/>
  <c r="J29" s="1"/>
  <c r="K29" s="1"/>
  <c r="L29" s="1"/>
  <c r="M29" s="1"/>
  <c r="N29" s="1"/>
  <c r="O29" s="1"/>
  <c r="P29" s="1"/>
  <c r="Q29" s="1"/>
  <c r="R29" s="1"/>
  <c r="S29" s="1"/>
  <c r="T29" s="1"/>
  <c r="U29" s="1"/>
  <c r="H28"/>
  <c r="I28" s="1"/>
  <c r="J28" s="1"/>
  <c r="K28" s="1"/>
  <c r="L28" s="1"/>
  <c r="M28" s="1"/>
  <c r="N28" s="1"/>
  <c r="O28" s="1"/>
  <c r="P28" s="1"/>
  <c r="Q28" s="1"/>
  <c r="R28" s="1"/>
  <c r="S28" s="1"/>
  <c r="T28" s="1"/>
  <c r="U28" s="1"/>
  <c r="H27"/>
  <c r="H36"/>
  <c r="I36" s="1"/>
  <c r="J36" s="1"/>
  <c r="K36" s="1"/>
  <c r="L36" s="1"/>
  <c r="M36" s="1"/>
  <c r="N36" s="1"/>
  <c r="O36" s="1"/>
  <c r="P36" s="1"/>
  <c r="Q36" s="1"/>
  <c r="R36" s="1"/>
  <c r="S36" s="1"/>
  <c r="T36" s="1"/>
  <c r="U36" s="1"/>
  <c r="H35"/>
  <c r="I35" s="1"/>
  <c r="J35" s="1"/>
  <c r="K35" s="1"/>
  <c r="L35" s="1"/>
  <c r="M35" s="1"/>
  <c r="N35" s="1"/>
  <c r="O35" s="1"/>
  <c r="P35" s="1"/>
  <c r="Q35" s="1"/>
  <c r="R35" s="1"/>
  <c r="S35" s="1"/>
  <c r="T35" s="1"/>
  <c r="U35" s="1"/>
  <c r="H34"/>
  <c r="H46"/>
  <c r="H45"/>
  <c r="H44"/>
  <c r="F45"/>
  <c r="F46" s="1"/>
  <c r="F28"/>
  <c r="F29" s="1"/>
  <c r="D46"/>
  <c r="D45"/>
  <c r="D36"/>
  <c r="D35"/>
  <c r="D34"/>
  <c r="D29"/>
  <c r="D28"/>
  <c r="D27"/>
  <c r="G31" i="1"/>
  <c r="G30"/>
  <c r="G34" s="1"/>
  <c r="G29"/>
  <c r="G57"/>
  <c r="H57" s="1"/>
  <c r="I57" s="1"/>
  <c r="J57" s="1"/>
  <c r="K57" s="1"/>
  <c r="L57" s="1"/>
  <c r="M57" s="1"/>
  <c r="N57" s="1"/>
  <c r="O57" s="1"/>
  <c r="P57" s="1"/>
  <c r="Q57" s="1"/>
  <c r="R57" s="1"/>
  <c r="S57" s="1"/>
  <c r="T57" s="1"/>
  <c r="T19"/>
  <c r="S19"/>
  <c r="R19"/>
  <c r="Q19"/>
  <c r="P19"/>
  <c r="O19"/>
  <c r="N19"/>
  <c r="M19"/>
  <c r="L19"/>
  <c r="K19"/>
  <c r="J19"/>
  <c r="I19"/>
  <c r="H19"/>
  <c r="G19"/>
  <c r="F53"/>
  <c r="D39"/>
  <c r="D38"/>
  <c r="D37"/>
  <c r="D35"/>
  <c r="D34"/>
  <c r="D33"/>
  <c r="D31"/>
  <c r="D30"/>
  <c r="D29"/>
  <c r="D22"/>
  <c r="D21"/>
  <c r="D20"/>
  <c r="D18"/>
  <c r="D17"/>
  <c r="D16"/>
  <c r="D14"/>
  <c r="D13"/>
  <c r="D12"/>
  <c r="F36"/>
  <c r="F32"/>
  <c r="T22"/>
  <c r="U60" i="8" s="1"/>
  <c r="S22" i="1"/>
  <c r="T60" i="8" s="1"/>
  <c r="R22" i="1"/>
  <c r="S60" i="8" s="1"/>
  <c r="Q22" i="1"/>
  <c r="R60" i="8" s="1"/>
  <c r="P22" i="1"/>
  <c r="Q60" i="8" s="1"/>
  <c r="O22" i="1"/>
  <c r="P60" i="8" s="1"/>
  <c r="N22" i="1"/>
  <c r="O60" i="8" s="1"/>
  <c r="M22" i="1"/>
  <c r="N60" i="8" s="1"/>
  <c r="L22" i="1"/>
  <c r="M60" i="8" s="1"/>
  <c r="K22" i="1"/>
  <c r="L60" i="8" s="1"/>
  <c r="J22" i="1"/>
  <c r="K60" i="8" s="1"/>
  <c r="I22" i="1"/>
  <c r="J60" i="8" s="1"/>
  <c r="H22" i="1"/>
  <c r="I60" i="8" s="1"/>
  <c r="G22" i="1"/>
  <c r="H60" i="8" s="1"/>
  <c r="F22" i="1"/>
  <c r="G60" i="8" s="1"/>
  <c r="T21" i="1"/>
  <c r="U59" i="8" s="1"/>
  <c r="S21" i="1"/>
  <c r="T59" i="8" s="1"/>
  <c r="R21" i="1"/>
  <c r="S59" i="8" s="1"/>
  <c r="Q21" i="1"/>
  <c r="R59" i="8" s="1"/>
  <c r="P21" i="1"/>
  <c r="Q59" i="8" s="1"/>
  <c r="O21" i="1"/>
  <c r="P59" i="8" s="1"/>
  <c r="N21" i="1"/>
  <c r="O59" i="8" s="1"/>
  <c r="M21" i="1"/>
  <c r="N59" i="8" s="1"/>
  <c r="L21" i="1"/>
  <c r="M59" i="8" s="1"/>
  <c r="K21" i="1"/>
  <c r="L59" i="8" s="1"/>
  <c r="J21" i="1"/>
  <c r="K59" i="8" s="1"/>
  <c r="I21" i="1"/>
  <c r="J59" i="8" s="1"/>
  <c r="H21" i="1"/>
  <c r="I59" i="8" s="1"/>
  <c r="G21" i="1"/>
  <c r="H59" i="8" s="1"/>
  <c r="F21" i="1"/>
  <c r="G59" i="8" s="1"/>
  <c r="T20" i="1"/>
  <c r="U58" i="8" s="1"/>
  <c r="S20" i="1"/>
  <c r="T58" i="8" s="1"/>
  <c r="R20" i="1"/>
  <c r="S58" i="8" s="1"/>
  <c r="Q20" i="1"/>
  <c r="R58" i="8" s="1"/>
  <c r="P20" i="1"/>
  <c r="Q58" i="8" s="1"/>
  <c r="O20" i="1"/>
  <c r="P58" i="8" s="1"/>
  <c r="N20" i="1"/>
  <c r="O58" i="8" s="1"/>
  <c r="M20" i="1"/>
  <c r="N58" i="8" s="1"/>
  <c r="L20" i="1"/>
  <c r="M58" i="8" s="1"/>
  <c r="K20" i="1"/>
  <c r="L58" i="8" s="1"/>
  <c r="J20" i="1"/>
  <c r="K58" i="8" s="1"/>
  <c r="I20" i="1"/>
  <c r="J58" i="8" s="1"/>
  <c r="H20" i="1"/>
  <c r="I58" i="8" s="1"/>
  <c r="G20" i="1"/>
  <c r="H58" i="8" s="1"/>
  <c r="F20" i="1"/>
  <c r="F19"/>
  <c r="G15"/>
  <c r="H15"/>
  <c r="I15"/>
  <c r="J15"/>
  <c r="K15"/>
  <c r="L15"/>
  <c r="M15"/>
  <c r="N15"/>
  <c r="O15"/>
  <c r="P15"/>
  <c r="Q15"/>
  <c r="R15"/>
  <c r="S15"/>
  <c r="T15"/>
  <c r="G52"/>
  <c r="H52" s="1"/>
  <c r="I52" s="1"/>
  <c r="J52" s="1"/>
  <c r="K52" s="1"/>
  <c r="L52" s="1"/>
  <c r="M52" s="1"/>
  <c r="N52" s="1"/>
  <c r="O52" s="1"/>
  <c r="P52" s="1"/>
  <c r="Q52" s="1"/>
  <c r="R52" s="1"/>
  <c r="S52" s="1"/>
  <c r="T52" s="1"/>
  <c r="G28"/>
  <c r="H28" s="1"/>
  <c r="I28" s="1"/>
  <c r="J28" s="1"/>
  <c r="K28" s="1"/>
  <c r="L28" s="1"/>
  <c r="M28" s="1"/>
  <c r="N28" s="1"/>
  <c r="O28" s="1"/>
  <c r="P28" s="1"/>
  <c r="Q28" s="1"/>
  <c r="R28" s="1"/>
  <c r="S28" s="1"/>
  <c r="T28" s="1"/>
  <c r="G11"/>
  <c r="H11" s="1"/>
  <c r="I11" s="1"/>
  <c r="J11" s="1"/>
  <c r="K11" s="1"/>
  <c r="L11" s="1"/>
  <c r="M11" s="1"/>
  <c r="N11" s="1"/>
  <c r="O11" s="1"/>
  <c r="P11" s="1"/>
  <c r="Q11" s="1"/>
  <c r="R11" s="1"/>
  <c r="S11" s="1"/>
  <c r="T11" s="1"/>
  <c r="H43" i="2"/>
  <c r="I43" s="1"/>
  <c r="J43" s="1"/>
  <c r="K43" s="1"/>
  <c r="L43" s="1"/>
  <c r="M43" s="1"/>
  <c r="N43" s="1"/>
  <c r="O43" s="1"/>
  <c r="P43" s="1"/>
  <c r="Q43" s="1"/>
  <c r="R43" s="1"/>
  <c r="S43" s="1"/>
  <c r="T43" s="1"/>
  <c r="U43" s="1"/>
  <c r="H149"/>
  <c r="I149" s="1"/>
  <c r="J149" s="1"/>
  <c r="K149" s="1"/>
  <c r="L149" s="1"/>
  <c r="M149" s="1"/>
  <c r="N149" s="1"/>
  <c r="O149" s="1"/>
  <c r="P149" s="1"/>
  <c r="Q149" s="1"/>
  <c r="R149" s="1"/>
  <c r="S149" s="1"/>
  <c r="T149" s="1"/>
  <c r="U149" s="1"/>
  <c r="H33"/>
  <c r="I33" s="1"/>
  <c r="J33" s="1"/>
  <c r="K33" s="1"/>
  <c r="L33" s="1"/>
  <c r="M33" s="1"/>
  <c r="N33" s="1"/>
  <c r="O33" s="1"/>
  <c r="P33" s="1"/>
  <c r="Q33" s="1"/>
  <c r="R33" s="1"/>
  <c r="S33" s="1"/>
  <c r="T33" s="1"/>
  <c r="U33" s="1"/>
  <c r="H26"/>
  <c r="I26" s="1"/>
  <c r="J26" s="1"/>
  <c r="K26" s="1"/>
  <c r="L26" s="1"/>
  <c r="M26" s="1"/>
  <c r="N26" s="1"/>
  <c r="O26" s="1"/>
  <c r="P26" s="1"/>
  <c r="Q26" s="1"/>
  <c r="R26" s="1"/>
  <c r="S26" s="1"/>
  <c r="T26" s="1"/>
  <c r="U26" s="1"/>
  <c r="H12"/>
  <c r="G19"/>
  <c r="H18"/>
  <c r="I18" s="1"/>
  <c r="J18" s="1"/>
  <c r="K18" s="1"/>
  <c r="L18" s="1"/>
  <c r="M18" s="1"/>
  <c r="N18" s="1"/>
  <c r="O18" s="1"/>
  <c r="P18" s="1"/>
  <c r="Q18" s="1"/>
  <c r="R18" s="1"/>
  <c r="S18" s="1"/>
  <c r="T18" s="1"/>
  <c r="U18" s="1"/>
  <c r="H11"/>
  <c r="I11" s="1"/>
  <c r="J11" s="1"/>
  <c r="K11" s="1"/>
  <c r="L11" s="1"/>
  <c r="M11" s="1"/>
  <c r="N11" s="1"/>
  <c r="O11" s="1"/>
  <c r="P11" s="1"/>
  <c r="Q11" s="1"/>
  <c r="R11" s="1"/>
  <c r="S11" s="1"/>
  <c r="T11" s="1"/>
  <c r="U11" s="1"/>
  <c r="E209" i="9" l="1"/>
  <c r="F209"/>
  <c r="F18" i="11"/>
  <c r="P169" i="9"/>
  <c r="L169"/>
  <c r="H176"/>
  <c r="U170"/>
  <c r="U71"/>
  <c r="H81" i="2"/>
  <c r="F247" i="9" s="1"/>
  <c r="H85" i="2"/>
  <c r="F251" i="9" s="1"/>
  <c r="H89" i="2"/>
  <c r="F255" i="9" s="1"/>
  <c r="H84" i="2"/>
  <c r="F250" i="9" s="1"/>
  <c r="H88" i="2"/>
  <c r="H83"/>
  <c r="H87"/>
  <c r="H82"/>
  <c r="F248" i="9" s="1"/>
  <c r="H90" i="2"/>
  <c r="F256" i="9" s="1"/>
  <c r="H86" i="2"/>
  <c r="H91"/>
  <c r="F257" i="9" s="1"/>
  <c r="H51" i="2"/>
  <c r="F187" i="9" s="1"/>
  <c r="H55" i="2"/>
  <c r="H59"/>
  <c r="F195" i="9" s="1"/>
  <c r="H54" i="2"/>
  <c r="H58"/>
  <c r="F194" i="9" s="1"/>
  <c r="H53" i="2"/>
  <c r="F189" i="9" s="1"/>
  <c r="H57" i="2"/>
  <c r="H61"/>
  <c r="H52"/>
  <c r="F188" i="9" s="1"/>
  <c r="H56" i="2"/>
  <c r="F192" i="9" s="1"/>
  <c r="H60" i="2"/>
  <c r="F196" i="9" s="1"/>
  <c r="H69" i="2"/>
  <c r="H67"/>
  <c r="F218" i="9" s="1"/>
  <c r="H71" i="2"/>
  <c r="F222" i="9" s="1"/>
  <c r="H75" i="2"/>
  <c r="F226" i="9" s="1"/>
  <c r="H68" i="2"/>
  <c r="H70"/>
  <c r="F221" i="9" s="1"/>
  <c r="H73" i="2"/>
  <c r="H74"/>
  <c r="H66"/>
  <c r="H72"/>
  <c r="F223" i="9" s="1"/>
  <c r="H76" i="2"/>
  <c r="G314" i="9"/>
  <c r="G296"/>
  <c r="G14" i="8"/>
  <c r="G58"/>
  <c r="G65" s="1"/>
  <c r="H61"/>
  <c r="H63"/>
  <c r="F59" i="1"/>
  <c r="G11" i="15" s="1"/>
  <c r="H40" i="8"/>
  <c r="H62"/>
  <c r="I83" i="5"/>
  <c r="H25" i="7"/>
  <c r="J89" i="5"/>
  <c r="I67" i="7"/>
  <c r="J91" i="5"/>
  <c r="I69" i="7"/>
  <c r="J103" i="5"/>
  <c r="I71" i="7"/>
  <c r="I58"/>
  <c r="J90" i="5"/>
  <c r="I68" i="7"/>
  <c r="J97" i="5"/>
  <c r="I70" i="7"/>
  <c r="I49"/>
  <c r="J57" i="5"/>
  <c r="I84"/>
  <c r="H35" i="7"/>
  <c r="I82" i="5"/>
  <c r="H15" i="7"/>
  <c r="G53" i="1"/>
  <c r="S66" i="7"/>
  <c r="O66"/>
  <c r="K66"/>
  <c r="G66"/>
  <c r="G72" s="1"/>
  <c r="R66"/>
  <c r="N66"/>
  <c r="J66"/>
  <c r="Q66"/>
  <c r="M66"/>
  <c r="I66"/>
  <c r="T66"/>
  <c r="P66"/>
  <c r="L66"/>
  <c r="H66"/>
  <c r="H72" s="1"/>
  <c r="K195" i="2"/>
  <c r="J73" i="8"/>
  <c r="J189" i="2"/>
  <c r="J186"/>
  <c r="J170"/>
  <c r="I31" i="8"/>
  <c r="I180" i="2"/>
  <c r="G36" i="7"/>
  <c r="J160" i="2"/>
  <c r="I17" i="8"/>
  <c r="J169" i="2"/>
  <c r="I30" i="8"/>
  <c r="J178" i="2"/>
  <c r="H16" i="7"/>
  <c r="J162" i="2"/>
  <c r="I19" i="8"/>
  <c r="J168" i="2"/>
  <c r="I29" i="8"/>
  <c r="I179" i="2"/>
  <c r="G26" i="7"/>
  <c r="J161" i="2"/>
  <c r="I18" i="8"/>
  <c r="R34" i="7"/>
  <c r="R24"/>
  <c r="R14"/>
  <c r="N24"/>
  <c r="N34"/>
  <c r="N14"/>
  <c r="J34"/>
  <c r="J24"/>
  <c r="J14"/>
  <c r="J14" i="8"/>
  <c r="J26"/>
  <c r="N14"/>
  <c r="N26"/>
  <c r="R14"/>
  <c r="R26"/>
  <c r="G15"/>
  <c r="G27"/>
  <c r="K15"/>
  <c r="K27"/>
  <c r="O15"/>
  <c r="O27"/>
  <c r="S15"/>
  <c r="S27"/>
  <c r="H16"/>
  <c r="H28"/>
  <c r="L16"/>
  <c r="L28"/>
  <c r="P16"/>
  <c r="P28"/>
  <c r="T16"/>
  <c r="T28"/>
  <c r="G38" i="1"/>
  <c r="G47" s="1"/>
  <c r="H151" i="2" s="1"/>
  <c r="H31" i="1"/>
  <c r="H35" s="1"/>
  <c r="G35"/>
  <c r="G39" s="1"/>
  <c r="G48" s="1"/>
  <c r="H152" i="2" s="1"/>
  <c r="F75" i="6"/>
  <c r="G27" i="15" s="1"/>
  <c r="F27" i="6"/>
  <c r="F24" i="7"/>
  <c r="F28" s="1"/>
  <c r="F14"/>
  <c r="F18" s="1"/>
  <c r="Q34"/>
  <c r="Q24"/>
  <c r="Q14"/>
  <c r="M34"/>
  <c r="M24"/>
  <c r="M14"/>
  <c r="I34"/>
  <c r="I24"/>
  <c r="I14"/>
  <c r="G26" i="8"/>
  <c r="K26"/>
  <c r="K14"/>
  <c r="O26"/>
  <c r="O14"/>
  <c r="S26"/>
  <c r="S14"/>
  <c r="H27"/>
  <c r="H15"/>
  <c r="L27"/>
  <c r="L15"/>
  <c r="P27"/>
  <c r="P15"/>
  <c r="T27"/>
  <c r="T15"/>
  <c r="I28"/>
  <c r="I16"/>
  <c r="M28"/>
  <c r="M16"/>
  <c r="Q28"/>
  <c r="Q16"/>
  <c r="U28"/>
  <c r="U16"/>
  <c r="H29" i="1"/>
  <c r="H33" s="1"/>
  <c r="G33"/>
  <c r="G37" s="1"/>
  <c r="G46" s="1"/>
  <c r="H150" i="2" s="1"/>
  <c r="F74" i="6"/>
  <c r="G26" i="15" s="1"/>
  <c r="F18" i="6"/>
  <c r="T24" i="7"/>
  <c r="T34"/>
  <c r="T14"/>
  <c r="P24"/>
  <c r="P34"/>
  <c r="P14"/>
  <c r="L24"/>
  <c r="L34"/>
  <c r="L14"/>
  <c r="H24"/>
  <c r="H34"/>
  <c r="H14"/>
  <c r="H14" i="8"/>
  <c r="H26"/>
  <c r="L14"/>
  <c r="L26"/>
  <c r="P14"/>
  <c r="P26"/>
  <c r="T14"/>
  <c r="T26"/>
  <c r="I15"/>
  <c r="I27"/>
  <c r="M15"/>
  <c r="M27"/>
  <c r="Q15"/>
  <c r="Q27"/>
  <c r="U15"/>
  <c r="U27"/>
  <c r="J16"/>
  <c r="J28"/>
  <c r="N16"/>
  <c r="N28"/>
  <c r="R16"/>
  <c r="R28"/>
  <c r="F49" i="6"/>
  <c r="F77"/>
  <c r="G29" i="15" s="1"/>
  <c r="S34" i="7"/>
  <c r="S24"/>
  <c r="S14"/>
  <c r="O24"/>
  <c r="O34"/>
  <c r="O14"/>
  <c r="K24"/>
  <c r="K34"/>
  <c r="K14"/>
  <c r="G34"/>
  <c r="G24"/>
  <c r="G14"/>
  <c r="G18" s="1"/>
  <c r="I26" i="8"/>
  <c r="I14"/>
  <c r="M26"/>
  <c r="M14"/>
  <c r="Q26"/>
  <c r="Q14"/>
  <c r="U26"/>
  <c r="U14"/>
  <c r="J27"/>
  <c r="J15"/>
  <c r="N27"/>
  <c r="N15"/>
  <c r="R27"/>
  <c r="R15"/>
  <c r="G28"/>
  <c r="G16"/>
  <c r="K28"/>
  <c r="K16"/>
  <c r="O28"/>
  <c r="O16"/>
  <c r="S28"/>
  <c r="S16"/>
  <c r="H30" i="1"/>
  <c r="E316" i="9"/>
  <c r="F364"/>
  <c r="E333"/>
  <c r="F379"/>
  <c r="E349"/>
  <c r="E286"/>
  <c r="F334"/>
  <c r="E302"/>
  <c r="F350"/>
  <c r="E350" s="1"/>
  <c r="O121"/>
  <c r="N169"/>
  <c r="O137"/>
  <c r="S138"/>
  <c r="P153"/>
  <c r="P170" s="1"/>
  <c r="L186"/>
  <c r="M137"/>
  <c r="N153"/>
  <c r="T153"/>
  <c r="U154" s="1"/>
  <c r="U103" s="1"/>
  <c r="T138"/>
  <c r="U139" s="1"/>
  <c r="U88" s="1"/>
  <c r="R153"/>
  <c r="S153"/>
  <c r="L138"/>
  <c r="N121"/>
  <c r="M169"/>
  <c r="J169"/>
  <c r="K121"/>
  <c r="O153"/>
  <c r="M153"/>
  <c r="M170" s="1"/>
  <c r="K153"/>
  <c r="Q153"/>
  <c r="L153"/>
  <c r="R121"/>
  <c r="Q169"/>
  <c r="T169"/>
  <c r="Q137"/>
  <c r="S121"/>
  <c r="R169"/>
  <c r="J159"/>
  <c r="I170"/>
  <c r="K127"/>
  <c r="J153"/>
  <c r="J157"/>
  <c r="J154"/>
  <c r="J141"/>
  <c r="J158"/>
  <c r="J142"/>
  <c r="I174"/>
  <c r="I120"/>
  <c r="H168"/>
  <c r="J138"/>
  <c r="J125"/>
  <c r="I173"/>
  <c r="K138"/>
  <c r="I171"/>
  <c r="J123"/>
  <c r="J122"/>
  <c r="J139"/>
  <c r="J143"/>
  <c r="I175"/>
  <c r="J127"/>
  <c r="J155"/>
  <c r="G112" i="2"/>
  <c r="G127"/>
  <c r="E240" i="9" s="1"/>
  <c r="G310"/>
  <c r="G300"/>
  <c r="G299"/>
  <c r="F317"/>
  <c r="F303"/>
  <c r="G281"/>
  <c r="G289"/>
  <c r="F287"/>
  <c r="I12" i="2"/>
  <c r="I19" s="1"/>
  <c r="I46"/>
  <c r="H99"/>
  <c r="I27"/>
  <c r="H97"/>
  <c r="I34"/>
  <c r="I45"/>
  <c r="H98"/>
  <c r="F33" i="6"/>
  <c r="F34"/>
  <c r="F35"/>
  <c r="H175" i="9"/>
  <c r="I143"/>
  <c r="Q138"/>
  <c r="O138"/>
  <c r="M138"/>
  <c r="N122"/>
  <c r="Q122"/>
  <c r="M122"/>
  <c r="R122"/>
  <c r="I65" i="5"/>
  <c r="H19" i="2"/>
  <c r="I44"/>
  <c r="J58" i="1"/>
  <c r="J59" s="1"/>
  <c r="K11" i="15" s="1"/>
  <c r="K13" s="1"/>
  <c r="G58" i="1"/>
  <c r="G59" s="1"/>
  <c r="H11" i="15" s="1"/>
  <c r="H13" s="1"/>
  <c r="G32" i="1"/>
  <c r="I23"/>
  <c r="J39" i="8" s="1"/>
  <c r="G23" i="1"/>
  <c r="H39" i="8" s="1"/>
  <c r="F40" i="1"/>
  <c r="F41" s="1"/>
  <c r="K23"/>
  <c r="L39" i="8" s="1"/>
  <c r="O23" i="1"/>
  <c r="P39" i="8" s="1"/>
  <c r="S23" i="1"/>
  <c r="T39" i="8" s="1"/>
  <c r="H23" i="1"/>
  <c r="I39" i="8" s="1"/>
  <c r="L23" i="1"/>
  <c r="M39" i="8" s="1"/>
  <c r="P23" i="1"/>
  <c r="Q39" i="8" s="1"/>
  <c r="T23" i="1"/>
  <c r="U39" i="8" s="1"/>
  <c r="F23" i="1"/>
  <c r="J23"/>
  <c r="K39" i="8" s="1"/>
  <c r="N23" i="1"/>
  <c r="O39" i="8" s="1"/>
  <c r="M23" i="1"/>
  <c r="N39" i="8" s="1"/>
  <c r="Q23" i="1"/>
  <c r="R39" i="8" s="1"/>
  <c r="R23" i="1"/>
  <c r="S39" i="8" s="1"/>
  <c r="G285" i="9" l="1"/>
  <c r="G38" i="7"/>
  <c r="G282" i="9"/>
  <c r="G295"/>
  <c r="F217"/>
  <c r="G313"/>
  <c r="G287"/>
  <c r="G280"/>
  <c r="G301"/>
  <c r="G311"/>
  <c r="F210"/>
  <c r="E210"/>
  <c r="G303"/>
  <c r="F225"/>
  <c r="G286"/>
  <c r="F193"/>
  <c r="G315"/>
  <c r="F252"/>
  <c r="G312"/>
  <c r="F249"/>
  <c r="G305"/>
  <c r="F227"/>
  <c r="G302"/>
  <c r="F224"/>
  <c r="G297"/>
  <c r="F219"/>
  <c r="G298"/>
  <c r="F220"/>
  <c r="G290"/>
  <c r="F197"/>
  <c r="G283"/>
  <c r="F190"/>
  <c r="G284"/>
  <c r="F191"/>
  <c r="G316"/>
  <c r="F253"/>
  <c r="G317"/>
  <c r="F254"/>
  <c r="F19" i="11"/>
  <c r="T170" i="9"/>
  <c r="Q170"/>
  <c r="U171"/>
  <c r="G39" i="8"/>
  <c r="G42" s="1"/>
  <c r="G91" s="1"/>
  <c r="G42" i="15" s="1"/>
  <c r="E10" i="18"/>
  <c r="F10" s="1"/>
  <c r="G14" i="15" s="1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U14" s="1"/>
  <c r="G56" i="6"/>
  <c r="G47"/>
  <c r="N170" i="9"/>
  <c r="G54" i="6"/>
  <c r="I52" i="2"/>
  <c r="I56"/>
  <c r="G192" i="9" s="1"/>
  <c r="I60" i="2"/>
  <c r="I51"/>
  <c r="I55"/>
  <c r="G191" i="9" s="1"/>
  <c r="I59" i="2"/>
  <c r="G195" i="9" s="1"/>
  <c r="I54" i="2"/>
  <c r="G190" i="9" s="1"/>
  <c r="I58" i="2"/>
  <c r="I53"/>
  <c r="I57"/>
  <c r="G193" i="9" s="1"/>
  <c r="I61" i="2"/>
  <c r="I66"/>
  <c r="G217" i="9" s="1"/>
  <c r="I70" i="2"/>
  <c r="I68"/>
  <c r="G219" i="9" s="1"/>
  <c r="I72" i="2"/>
  <c r="I76"/>
  <c r="I67"/>
  <c r="I69"/>
  <c r="G220" i="9" s="1"/>
  <c r="I71" i="2"/>
  <c r="I75"/>
  <c r="I73"/>
  <c r="I74"/>
  <c r="G225" i="9" s="1"/>
  <c r="I82" i="2"/>
  <c r="G248" i="9" s="1"/>
  <c r="I86" i="2"/>
  <c r="I90"/>
  <c r="G256" i="9" s="1"/>
  <c r="I81" i="2"/>
  <c r="G247" i="9" s="1"/>
  <c r="I85" i="2"/>
  <c r="G251" i="9" s="1"/>
  <c r="I89" i="2"/>
  <c r="I84"/>
  <c r="G250" i="9" s="1"/>
  <c r="I88" i="2"/>
  <c r="G254" i="9" s="1"/>
  <c r="I91" i="2"/>
  <c r="G257" i="9" s="1"/>
  <c r="I83" i="2"/>
  <c r="I87"/>
  <c r="H310" i="9"/>
  <c r="G55" i="6"/>
  <c r="G46"/>
  <c r="G45"/>
  <c r="H42" i="8"/>
  <c r="H91" s="1"/>
  <c r="H42" i="15" s="1"/>
  <c r="G66" i="8"/>
  <c r="G93"/>
  <c r="G44" i="15" s="1"/>
  <c r="I63" i="8"/>
  <c r="I61"/>
  <c r="G13" i="15"/>
  <c r="G25" i="6"/>
  <c r="G66"/>
  <c r="G24"/>
  <c r="G65"/>
  <c r="G14"/>
  <c r="G64"/>
  <c r="H65" i="8"/>
  <c r="H66" s="1"/>
  <c r="G28" i="7"/>
  <c r="G29" s="1"/>
  <c r="I62" i="8"/>
  <c r="I40"/>
  <c r="I42" s="1"/>
  <c r="G87" i="7"/>
  <c r="H35" i="15" s="1"/>
  <c r="I72" i="7"/>
  <c r="I73" s="1"/>
  <c r="K91" i="5"/>
  <c r="J69" i="7"/>
  <c r="K97" i="5"/>
  <c r="J70" i="7"/>
  <c r="J49"/>
  <c r="K89" i="5"/>
  <c r="J67" i="7"/>
  <c r="K57" i="5"/>
  <c r="K103"/>
  <c r="J71" i="7"/>
  <c r="J58"/>
  <c r="K90" i="5"/>
  <c r="J68" i="7"/>
  <c r="J83" i="5"/>
  <c r="I25" i="7"/>
  <c r="J84" i="5"/>
  <c r="I35" i="7"/>
  <c r="J82" i="5"/>
  <c r="I15" i="7"/>
  <c r="J46" i="2"/>
  <c r="H18" i="7"/>
  <c r="H19" s="1"/>
  <c r="G15" i="6"/>
  <c r="H32" i="1"/>
  <c r="S72" i="8"/>
  <c r="R72"/>
  <c r="N72"/>
  <c r="U72"/>
  <c r="T72"/>
  <c r="O72"/>
  <c r="Q72"/>
  <c r="P72"/>
  <c r="J72"/>
  <c r="J74" s="1"/>
  <c r="K72"/>
  <c r="L72"/>
  <c r="G76" i="7"/>
  <c r="G77"/>
  <c r="G74"/>
  <c r="G75"/>
  <c r="G73"/>
  <c r="M72" i="8"/>
  <c r="G72"/>
  <c r="G74" s="1"/>
  <c r="I72"/>
  <c r="I74" s="1"/>
  <c r="H72"/>
  <c r="H74" s="1"/>
  <c r="H75" i="7"/>
  <c r="H77"/>
  <c r="H73"/>
  <c r="H76"/>
  <c r="H74"/>
  <c r="L195" i="2"/>
  <c r="K73" i="8"/>
  <c r="F41" i="7"/>
  <c r="K189" i="2"/>
  <c r="K186"/>
  <c r="G358" i="9"/>
  <c r="J179" i="2"/>
  <c r="H26" i="7"/>
  <c r="H28" s="1"/>
  <c r="K162" i="2"/>
  <c r="J19" i="8"/>
  <c r="K169" i="2"/>
  <c r="J30" i="8"/>
  <c r="J180" i="2"/>
  <c r="H36" i="7"/>
  <c r="H38" s="1"/>
  <c r="G328" i="9"/>
  <c r="G343"/>
  <c r="K161" i="2"/>
  <c r="J18" i="8"/>
  <c r="K168" i="2"/>
  <c r="J29" i="8"/>
  <c r="K178" i="2"/>
  <c r="I16" i="7"/>
  <c r="K160" i="2"/>
  <c r="J17" i="8"/>
  <c r="K170" i="2"/>
  <c r="J31" i="8"/>
  <c r="H20"/>
  <c r="H39" i="1"/>
  <c r="H48" s="1"/>
  <c r="I152" i="2" s="1"/>
  <c r="G16" i="6"/>
  <c r="H37" i="1"/>
  <c r="H46" s="1"/>
  <c r="I150" i="2" s="1"/>
  <c r="G36" i="1"/>
  <c r="I29"/>
  <c r="J29" s="1"/>
  <c r="J33" s="1"/>
  <c r="E58" i="9"/>
  <c r="E59" s="1"/>
  <c r="E152"/>
  <c r="I20" i="8"/>
  <c r="I31" i="1"/>
  <c r="I35" s="1"/>
  <c r="I30"/>
  <c r="H34"/>
  <c r="H36" s="1"/>
  <c r="I32" i="8"/>
  <c r="H32"/>
  <c r="E120" i="9"/>
  <c r="E26"/>
  <c r="E27" s="1"/>
  <c r="F19" i="7"/>
  <c r="F85"/>
  <c r="G33" i="15" s="1"/>
  <c r="G19" i="7"/>
  <c r="G85"/>
  <c r="H33" i="15" s="1"/>
  <c r="G20" i="8"/>
  <c r="F29" i="7"/>
  <c r="F86"/>
  <c r="G34" i="15" s="1"/>
  <c r="G40" i="1"/>
  <c r="G41" s="1"/>
  <c r="G23" i="6"/>
  <c r="G32" i="8"/>
  <c r="F39" i="7"/>
  <c r="F87"/>
  <c r="G35" i="15" s="1"/>
  <c r="E136" i="9"/>
  <c r="E42"/>
  <c r="E43" s="1"/>
  <c r="G335"/>
  <c r="G333"/>
  <c r="G338"/>
  <c r="G334"/>
  <c r="E317"/>
  <c r="F365"/>
  <c r="E365" s="1"/>
  <c r="G344"/>
  <c r="E364"/>
  <c r="G337"/>
  <c r="G365"/>
  <c r="G348"/>
  <c r="G353"/>
  <c r="G361"/>
  <c r="G350"/>
  <c r="E334"/>
  <c r="F380"/>
  <c r="E287"/>
  <c r="F335"/>
  <c r="G331"/>
  <c r="E303"/>
  <c r="F351"/>
  <c r="E351" s="1"/>
  <c r="G364"/>
  <c r="G346"/>
  <c r="G360"/>
  <c r="E379"/>
  <c r="G330"/>
  <c r="G329"/>
  <c r="G351"/>
  <c r="G349"/>
  <c r="G345"/>
  <c r="G363"/>
  <c r="G359"/>
  <c r="M154"/>
  <c r="L154"/>
  <c r="L170"/>
  <c r="R138"/>
  <c r="S122"/>
  <c r="R170"/>
  <c r="P154"/>
  <c r="M139"/>
  <c r="T154"/>
  <c r="U155" s="1"/>
  <c r="U104" s="1"/>
  <c r="P122"/>
  <c r="O170"/>
  <c r="R154"/>
  <c r="L122"/>
  <c r="K170"/>
  <c r="O122"/>
  <c r="N138"/>
  <c r="P138"/>
  <c r="N154"/>
  <c r="S154"/>
  <c r="T139"/>
  <c r="U140" s="1"/>
  <c r="U89" s="1"/>
  <c r="S170"/>
  <c r="T122"/>
  <c r="U123" s="1"/>
  <c r="O154"/>
  <c r="O171" s="1"/>
  <c r="M186"/>
  <c r="Q154"/>
  <c r="Q171" s="1"/>
  <c r="K159"/>
  <c r="J171"/>
  <c r="J176"/>
  <c r="K123"/>
  <c r="J121"/>
  <c r="I169"/>
  <c r="K143"/>
  <c r="J175"/>
  <c r="K124"/>
  <c r="J172"/>
  <c r="L139"/>
  <c r="K139"/>
  <c r="K142"/>
  <c r="K155"/>
  <c r="K154"/>
  <c r="K140"/>
  <c r="K156"/>
  <c r="K158"/>
  <c r="I176"/>
  <c r="K126"/>
  <c r="J174"/>
  <c r="H140" i="2"/>
  <c r="F268" i="9" s="1"/>
  <c r="H136" i="2"/>
  <c r="F264" i="9" s="1"/>
  <c r="H141" i="2"/>
  <c r="F269" i="9" s="1"/>
  <c r="H139" i="2"/>
  <c r="F267" i="9" s="1"/>
  <c r="H134" i="2"/>
  <c r="F262" i="9" s="1"/>
  <c r="H135" i="2"/>
  <c r="F263" i="9" s="1"/>
  <c r="H142" i="2"/>
  <c r="F270" i="9" s="1"/>
  <c r="H138" i="2"/>
  <c r="F266" i="9" s="1"/>
  <c r="H137" i="2"/>
  <c r="F265" i="9" s="1"/>
  <c r="H124" i="2"/>
  <c r="F237" i="9" s="1"/>
  <c r="H120" i="2"/>
  <c r="F233" i="9" s="1"/>
  <c r="H125" i="2"/>
  <c r="F238" i="9" s="1"/>
  <c r="H119" i="2"/>
  <c r="F232" i="9" s="1"/>
  <c r="H123" i="2"/>
  <c r="F236" i="9" s="1"/>
  <c r="H122" i="2"/>
  <c r="F235" i="9" s="1"/>
  <c r="H121" i="2"/>
  <c r="F234" i="9" s="1"/>
  <c r="H127" i="2"/>
  <c r="F240" i="9" s="1"/>
  <c r="H126" i="2"/>
  <c r="F239" i="9" s="1"/>
  <c r="G143" i="2"/>
  <c r="E271" i="9" s="1"/>
  <c r="G142" i="2"/>
  <c r="E270" i="9" s="1"/>
  <c r="H110" i="2"/>
  <c r="G208" i="9" s="1"/>
  <c r="H111" i="2"/>
  <c r="G209" i="9" s="1"/>
  <c r="H104" i="2"/>
  <c r="G202" i="9" s="1"/>
  <c r="H112" i="2"/>
  <c r="G210" i="9" s="1"/>
  <c r="H105" i="2"/>
  <c r="G203" i="9" s="1"/>
  <c r="H108" i="2"/>
  <c r="G206" i="9" s="1"/>
  <c r="H106" i="2"/>
  <c r="G204" i="9" s="1"/>
  <c r="H109" i="2"/>
  <c r="G207" i="9" s="1"/>
  <c r="H107" i="2"/>
  <c r="G205" i="9" s="1"/>
  <c r="I99" i="2"/>
  <c r="H295" i="9"/>
  <c r="H298"/>
  <c r="F318"/>
  <c r="G318"/>
  <c r="G304"/>
  <c r="F304"/>
  <c r="G288"/>
  <c r="F288"/>
  <c r="J27" i="2"/>
  <c r="K46"/>
  <c r="J12"/>
  <c r="J19" s="1"/>
  <c r="I97"/>
  <c r="J45"/>
  <c r="I98"/>
  <c r="J34"/>
  <c r="G34" i="6"/>
  <c r="G35"/>
  <c r="G33"/>
  <c r="F36"/>
  <c r="P139" i="9"/>
  <c r="R139"/>
  <c r="N139"/>
  <c r="N123"/>
  <c r="M171"/>
  <c r="R123"/>
  <c r="S123"/>
  <c r="O123"/>
  <c r="J65" i="5"/>
  <c r="J44" i="2"/>
  <c r="H58" i="1"/>
  <c r="H59" s="1"/>
  <c r="I11" i="15" s="1"/>
  <c r="I13" s="1"/>
  <c r="H53" i="1"/>
  <c r="I53"/>
  <c r="I58"/>
  <c r="I59" s="1"/>
  <c r="J11" i="15" s="1"/>
  <c r="J13" s="1"/>
  <c r="K58" i="1"/>
  <c r="K59" s="1"/>
  <c r="L11" i="15" s="1"/>
  <c r="L13" s="1"/>
  <c r="J53" i="1"/>
  <c r="H284" i="9" l="1"/>
  <c r="H313"/>
  <c r="G15" i="15"/>
  <c r="G18" s="1"/>
  <c r="L15"/>
  <c r="I15"/>
  <c r="I19" s="1"/>
  <c r="R171" i="9"/>
  <c r="H35" i="6"/>
  <c r="I39" i="1"/>
  <c r="I48" s="1"/>
  <c r="J31"/>
  <c r="J35" s="1"/>
  <c r="H16" i="6"/>
  <c r="H288" i="9"/>
  <c r="H317"/>
  <c r="H285"/>
  <c r="H33" i="6"/>
  <c r="H297" i="9"/>
  <c r="H286"/>
  <c r="H303"/>
  <c r="H311"/>
  <c r="H283"/>
  <c r="H314"/>
  <c r="H280"/>
  <c r="G187"/>
  <c r="G15" i="11"/>
  <c r="G13"/>
  <c r="G17"/>
  <c r="G16"/>
  <c r="F52"/>
  <c r="F35"/>
  <c r="F30"/>
  <c r="F32"/>
  <c r="F34"/>
  <c r="F33"/>
  <c r="F48"/>
  <c r="F45"/>
  <c r="F49"/>
  <c r="F46"/>
  <c r="H312" i="9"/>
  <c r="G249"/>
  <c r="H318"/>
  <c r="G255"/>
  <c r="H315"/>
  <c r="G252"/>
  <c r="H304"/>
  <c r="G226"/>
  <c r="H305"/>
  <c r="G227"/>
  <c r="H287"/>
  <c r="G194"/>
  <c r="F20" i="11"/>
  <c r="G20"/>
  <c r="G14"/>
  <c r="G12"/>
  <c r="G18"/>
  <c r="F31"/>
  <c r="F28"/>
  <c r="F29"/>
  <c r="F47"/>
  <c r="F44"/>
  <c r="F51"/>
  <c r="F50"/>
  <c r="H316" i="9"/>
  <c r="G253"/>
  <c r="H302"/>
  <c r="G224"/>
  <c r="H300"/>
  <c r="G222"/>
  <c r="H296"/>
  <c r="G218"/>
  <c r="H301"/>
  <c r="G223"/>
  <c r="H299"/>
  <c r="G221"/>
  <c r="H290"/>
  <c r="G197"/>
  <c r="H282"/>
  <c r="G189"/>
  <c r="H289"/>
  <c r="G196"/>
  <c r="H281"/>
  <c r="G188"/>
  <c r="G19" i="11"/>
  <c r="F36"/>
  <c r="U72" i="9"/>
  <c r="U172"/>
  <c r="K15" i="15"/>
  <c r="H15"/>
  <c r="J15"/>
  <c r="J19" s="1"/>
  <c r="I76" i="7"/>
  <c r="H47" i="6"/>
  <c r="H56"/>
  <c r="N171" i="9"/>
  <c r="J53" i="2"/>
  <c r="J57"/>
  <c r="J61"/>
  <c r="H197" i="9" s="1"/>
  <c r="J52" i="2"/>
  <c r="J56"/>
  <c r="J60"/>
  <c r="J51"/>
  <c r="H187" i="9" s="1"/>
  <c r="J55" i="2"/>
  <c r="H191" i="9" s="1"/>
  <c r="J59" i="2"/>
  <c r="H195" i="9" s="1"/>
  <c r="J54" i="2"/>
  <c r="J58"/>
  <c r="H194" i="9" s="1"/>
  <c r="K91" i="2"/>
  <c r="I257" i="9" s="1"/>
  <c r="K84" i="2"/>
  <c r="I250" i="9" s="1"/>
  <c r="K88" i="2"/>
  <c r="K83"/>
  <c r="K87"/>
  <c r="I253" i="9" s="1"/>
  <c r="K82" i="2"/>
  <c r="I248" i="9" s="1"/>
  <c r="K86" i="2"/>
  <c r="I252" i="9" s="1"/>
  <c r="K90" i="2"/>
  <c r="I256" i="9" s="1"/>
  <c r="K81" i="2"/>
  <c r="I247" i="9" s="1"/>
  <c r="K89" i="2"/>
  <c r="I255" i="9" s="1"/>
  <c r="K85" i="2"/>
  <c r="J67"/>
  <c r="H218" i="9" s="1"/>
  <c r="J71" i="2"/>
  <c r="H222" i="9" s="1"/>
  <c r="J66" i="2"/>
  <c r="J69"/>
  <c r="J73"/>
  <c r="H224" i="9" s="1"/>
  <c r="J68" i="2"/>
  <c r="H219" i="9" s="1"/>
  <c r="J70" i="2"/>
  <c r="J76"/>
  <c r="J75"/>
  <c r="H226" i="9" s="1"/>
  <c r="J72" i="2"/>
  <c r="H223" i="9" s="1"/>
  <c r="J74" i="2"/>
  <c r="J83"/>
  <c r="J87"/>
  <c r="J91"/>
  <c r="H257" i="9" s="1"/>
  <c r="J82" i="2"/>
  <c r="J86"/>
  <c r="J90"/>
  <c r="H256" i="9" s="1"/>
  <c r="J81" i="2"/>
  <c r="H247" i="9" s="1"/>
  <c r="J85" i="2"/>
  <c r="J89"/>
  <c r="J88"/>
  <c r="J84"/>
  <c r="G128"/>
  <c r="E241" i="9" s="1"/>
  <c r="G113" i="2"/>
  <c r="K63" i="8"/>
  <c r="I310" i="9"/>
  <c r="J99" i="2"/>
  <c r="G26" i="6"/>
  <c r="G27" s="1"/>
  <c r="H54"/>
  <c r="H45"/>
  <c r="J63" i="8"/>
  <c r="J152" i="2"/>
  <c r="I66" i="6" s="1"/>
  <c r="I56"/>
  <c r="I47"/>
  <c r="J61" i="8"/>
  <c r="K74"/>
  <c r="K75" s="1"/>
  <c r="G17" i="15"/>
  <c r="G19"/>
  <c r="H25" i="6"/>
  <c r="H66"/>
  <c r="H23"/>
  <c r="H64"/>
  <c r="L18" i="15"/>
  <c r="L19"/>
  <c r="G86" i="7"/>
  <c r="H34" i="15" s="1"/>
  <c r="H93" i="8"/>
  <c r="H44" i="15" s="1"/>
  <c r="I65" i="8"/>
  <c r="I66" s="1"/>
  <c r="F96"/>
  <c r="F97" s="1"/>
  <c r="I91"/>
  <c r="I42" i="15" s="1"/>
  <c r="J62" i="8"/>
  <c r="J40"/>
  <c r="J42" s="1"/>
  <c r="H33"/>
  <c r="H90"/>
  <c r="G75"/>
  <c r="G45" i="15" s="1"/>
  <c r="G94" i="8"/>
  <c r="I33"/>
  <c r="I90"/>
  <c r="H75"/>
  <c r="H94"/>
  <c r="H45" i="15" s="1"/>
  <c r="I21" i="8"/>
  <c r="I89"/>
  <c r="I40" i="15" s="1"/>
  <c r="J75" i="8"/>
  <c r="J94"/>
  <c r="J45" i="15" s="1"/>
  <c r="G33" i="8"/>
  <c r="G90"/>
  <c r="H21"/>
  <c r="H89"/>
  <c r="H40" i="15" s="1"/>
  <c r="I75" i="8"/>
  <c r="I94"/>
  <c r="I45" i="15" s="1"/>
  <c r="G21" i="8"/>
  <c r="G89"/>
  <c r="G40" i="15" s="1"/>
  <c r="G39" i="7"/>
  <c r="G42" s="1"/>
  <c r="G41"/>
  <c r="H49" i="8" s="1"/>
  <c r="H51" s="1"/>
  <c r="I74" i="7"/>
  <c r="I75"/>
  <c r="G17" i="6"/>
  <c r="G74" s="1"/>
  <c r="H26" i="15" s="1"/>
  <c r="I77" i="7"/>
  <c r="J72"/>
  <c r="J76" s="1"/>
  <c r="K83" i="5"/>
  <c r="J25" i="7"/>
  <c r="L91" i="5"/>
  <c r="K69" i="7"/>
  <c r="L90" i="5"/>
  <c r="K68" i="7"/>
  <c r="L103" i="5"/>
  <c r="K71" i="7"/>
  <c r="K58"/>
  <c r="L57" i="5"/>
  <c r="L89"/>
  <c r="K67" i="7"/>
  <c r="L97" i="5"/>
  <c r="K70" i="7"/>
  <c r="K49"/>
  <c r="I18"/>
  <c r="I19" s="1"/>
  <c r="K84" i="5"/>
  <c r="J35" i="7"/>
  <c r="K82" i="5"/>
  <c r="J15" i="7"/>
  <c r="G78"/>
  <c r="G90" s="1"/>
  <c r="H38" i="15" s="1"/>
  <c r="G43" i="8"/>
  <c r="H78" i="7"/>
  <c r="F57"/>
  <c r="F59" s="1"/>
  <c r="F60" s="1"/>
  <c r="G49" i="8"/>
  <c r="G51" s="1"/>
  <c r="H43"/>
  <c r="M195" i="2"/>
  <c r="L73" i="8"/>
  <c r="L74" s="1"/>
  <c r="J20"/>
  <c r="L189" i="2"/>
  <c r="L186"/>
  <c r="J32" i="8"/>
  <c r="H85" i="7"/>
  <c r="I33" i="15" s="1"/>
  <c r="H29" i="7"/>
  <c r="H86"/>
  <c r="I34" i="15" s="1"/>
  <c r="G374" i="9"/>
  <c r="H87" i="7"/>
  <c r="I35" i="15" s="1"/>
  <c r="H41" i="7"/>
  <c r="H39"/>
  <c r="H328" i="9"/>
  <c r="G57" i="6"/>
  <c r="G58" s="1"/>
  <c r="L170" i="2"/>
  <c r="K31" i="8"/>
  <c r="L178" i="2"/>
  <c r="J16" i="7"/>
  <c r="L161" i="2"/>
  <c r="K18" i="8"/>
  <c r="H343" i="9"/>
  <c r="H358"/>
  <c r="I358"/>
  <c r="G48" i="6"/>
  <c r="G49" s="1"/>
  <c r="L169" i="2"/>
  <c r="K30" i="8"/>
  <c r="K179" i="2"/>
  <c r="I26" i="7"/>
  <c r="I28" s="1"/>
  <c r="L160" i="2"/>
  <c r="K17" i="8"/>
  <c r="L168" i="2"/>
  <c r="K29" i="8"/>
  <c r="K180" i="2"/>
  <c r="I36" i="7"/>
  <c r="I38" s="1"/>
  <c r="L162" i="2"/>
  <c r="K19" i="8"/>
  <c r="I32" i="1"/>
  <c r="H14" i="6"/>
  <c r="H38" i="1"/>
  <c r="F76" i="6"/>
  <c r="G28" i="15" s="1"/>
  <c r="F37" i="6"/>
  <c r="I33" i="1"/>
  <c r="I37" s="1"/>
  <c r="I54" i="6" s="1"/>
  <c r="F48" i="7"/>
  <c r="F50" s="1"/>
  <c r="F42"/>
  <c r="F120" i="9"/>
  <c r="E128"/>
  <c r="E129" s="1"/>
  <c r="Y179" s="1"/>
  <c r="E169"/>
  <c r="E177" s="1"/>
  <c r="E178" s="1"/>
  <c r="Y182" s="1"/>
  <c r="E144"/>
  <c r="E145" s="1"/>
  <c r="Y180" s="1"/>
  <c r="F136"/>
  <c r="I25" i="6"/>
  <c r="I34" i="1"/>
  <c r="I38" s="1"/>
  <c r="J30"/>
  <c r="F152" i="9"/>
  <c r="E160"/>
  <c r="E161" s="1"/>
  <c r="Y181" s="1"/>
  <c r="E380"/>
  <c r="H329"/>
  <c r="H349"/>
  <c r="I361"/>
  <c r="F291"/>
  <c r="G336"/>
  <c r="H332"/>
  <c r="H337"/>
  <c r="E304"/>
  <c r="E306" s="1"/>
  <c r="F352"/>
  <c r="E352" s="1"/>
  <c r="G366"/>
  <c r="H350"/>
  <c r="H346"/>
  <c r="H362"/>
  <c r="I362"/>
  <c r="H113" i="2"/>
  <c r="G211" i="9" s="1"/>
  <c r="G377"/>
  <c r="G380"/>
  <c r="G381"/>
  <c r="H335"/>
  <c r="F306"/>
  <c r="G352"/>
  <c r="H345"/>
  <c r="H365"/>
  <c r="H351"/>
  <c r="H336"/>
  <c r="H334"/>
  <c r="H338"/>
  <c r="H352"/>
  <c r="E318"/>
  <c r="F366"/>
  <c r="E366" s="1"/>
  <c r="H347"/>
  <c r="H353"/>
  <c r="H364"/>
  <c r="H360"/>
  <c r="G376"/>
  <c r="G379"/>
  <c r="H331"/>
  <c r="H361"/>
  <c r="E288"/>
  <c r="E291" s="1"/>
  <c r="F336"/>
  <c r="H330"/>
  <c r="H366"/>
  <c r="I365"/>
  <c r="H344"/>
  <c r="H359"/>
  <c r="I359"/>
  <c r="G375"/>
  <c r="E335"/>
  <c r="F381"/>
  <c r="P155"/>
  <c r="T155"/>
  <c r="U156" s="1"/>
  <c r="O155"/>
  <c r="M123"/>
  <c r="L171"/>
  <c r="Q155"/>
  <c r="M155"/>
  <c r="N186"/>
  <c r="Q139"/>
  <c r="P123"/>
  <c r="Q123"/>
  <c r="P171"/>
  <c r="S139"/>
  <c r="O139"/>
  <c r="S171"/>
  <c r="T123"/>
  <c r="U124" s="1"/>
  <c r="N155"/>
  <c r="R155"/>
  <c r="R172" s="1"/>
  <c r="T171"/>
  <c r="S155"/>
  <c r="N140"/>
  <c r="K176"/>
  <c r="L156"/>
  <c r="L140"/>
  <c r="L125"/>
  <c r="K173"/>
  <c r="K122"/>
  <c r="J170"/>
  <c r="K175"/>
  <c r="L127"/>
  <c r="L124"/>
  <c r="K172"/>
  <c r="L159"/>
  <c r="L157"/>
  <c r="L141"/>
  <c r="L155"/>
  <c r="L143"/>
  <c r="M140"/>
  <c r="I111" i="2"/>
  <c r="H209" i="9" s="1"/>
  <c r="I112" i="2"/>
  <c r="H210" i="9" s="1"/>
  <c r="I105" i="2"/>
  <c r="H203" i="9" s="1"/>
  <c r="H13" i="11" s="1"/>
  <c r="I113" i="2"/>
  <c r="H211" i="9" s="1"/>
  <c r="I108" i="2"/>
  <c r="H206" i="9" s="1"/>
  <c r="H16" i="11" s="1"/>
  <c r="I106" i="2"/>
  <c r="H204" i="9" s="1"/>
  <c r="H14" i="11" s="1"/>
  <c r="I114" i="2"/>
  <c r="H212" i="9" s="1"/>
  <c r="I109" i="2"/>
  <c r="H207" i="9" s="1"/>
  <c r="H17" i="11" s="1"/>
  <c r="I107" i="2"/>
  <c r="H205" i="9" s="1"/>
  <c r="I110" i="2"/>
  <c r="H208" i="9" s="1"/>
  <c r="I104" i="2"/>
  <c r="H202" i="9" s="1"/>
  <c r="I141" i="2"/>
  <c r="G269" i="9" s="1"/>
  <c r="G51" i="11" s="1"/>
  <c r="I137" i="2"/>
  <c r="G265" i="9" s="1"/>
  <c r="I142" i="2"/>
  <c r="G270" i="9" s="1"/>
  <c r="I140" i="2"/>
  <c r="G268" i="9" s="1"/>
  <c r="I135" i="2"/>
  <c r="G263" i="9" s="1"/>
  <c r="I143" i="2"/>
  <c r="G271" i="9" s="1"/>
  <c r="I134" i="2"/>
  <c r="G262" i="9" s="1"/>
  <c r="G44" i="11" s="1"/>
  <c r="I139" i="2"/>
  <c r="G267" i="9" s="1"/>
  <c r="I138" i="2"/>
  <c r="G266" i="9" s="1"/>
  <c r="I136" i="2"/>
  <c r="G264" i="9" s="1"/>
  <c r="J142" i="2"/>
  <c r="H270" i="9" s="1"/>
  <c r="J138" i="2"/>
  <c r="H266" i="9" s="1"/>
  <c r="J134" i="2"/>
  <c r="H262" i="9" s="1"/>
  <c r="J141" i="2"/>
  <c r="H269" i="9" s="1"/>
  <c r="J143" i="2"/>
  <c r="H271" i="9" s="1"/>
  <c r="J136" i="2"/>
  <c r="H264" i="9" s="1"/>
  <c r="J140" i="2"/>
  <c r="H268" i="9" s="1"/>
  <c r="J139" i="2"/>
  <c r="H267" i="9" s="1"/>
  <c r="J137" i="2"/>
  <c r="H265" i="9" s="1"/>
  <c r="J135" i="2"/>
  <c r="H263" i="9" s="1"/>
  <c r="I129" i="2"/>
  <c r="G242" i="9" s="1"/>
  <c r="I125" i="2"/>
  <c r="G238" i="9" s="1"/>
  <c r="I121" i="2"/>
  <c r="G234" i="9" s="1"/>
  <c r="I126" i="2"/>
  <c r="G239" i="9" s="1"/>
  <c r="I120" i="2"/>
  <c r="G233" i="9" s="1"/>
  <c r="I128" i="2"/>
  <c r="G241" i="9" s="1"/>
  <c r="I127" i="2"/>
  <c r="G240" i="9" s="1"/>
  <c r="G36" i="11" s="1"/>
  <c r="I119" i="2"/>
  <c r="G232" i="9" s="1"/>
  <c r="I124" i="2"/>
  <c r="G237" i="9" s="1"/>
  <c r="G33" i="11" s="1"/>
  <c r="I123" i="2"/>
  <c r="G236" i="9" s="1"/>
  <c r="I122" i="2"/>
  <c r="G235" i="9" s="1"/>
  <c r="G31" i="11" s="1"/>
  <c r="I144" i="2"/>
  <c r="G272" i="9" s="1"/>
  <c r="H128" i="2"/>
  <c r="F241" i="9" s="1"/>
  <c r="H143" i="2"/>
  <c r="F271" i="9" s="1"/>
  <c r="J310"/>
  <c r="J311"/>
  <c r="J313"/>
  <c r="J316"/>
  <c r="I296"/>
  <c r="I297"/>
  <c r="I300"/>
  <c r="I301"/>
  <c r="I302"/>
  <c r="I304"/>
  <c r="J318"/>
  <c r="G319"/>
  <c r="J319"/>
  <c r="F319"/>
  <c r="I319"/>
  <c r="H319"/>
  <c r="I280"/>
  <c r="I290"/>
  <c r="I284"/>
  <c r="I287"/>
  <c r="I288"/>
  <c r="J97" i="2"/>
  <c r="L46"/>
  <c r="K99"/>
  <c r="K45"/>
  <c r="J98"/>
  <c r="K27"/>
  <c r="K34"/>
  <c r="K12"/>
  <c r="I16" i="6"/>
  <c r="I35"/>
  <c r="G36"/>
  <c r="S140" i="9"/>
  <c r="O140"/>
  <c r="Q140"/>
  <c r="O124"/>
  <c r="N172"/>
  <c r="P124"/>
  <c r="T124"/>
  <c r="U125" s="1"/>
  <c r="S124"/>
  <c r="K65" i="5"/>
  <c r="K44" i="2"/>
  <c r="K29" i="1"/>
  <c r="K33" s="1"/>
  <c r="J37"/>
  <c r="J46" s="1"/>
  <c r="K31"/>
  <c r="K35" s="1"/>
  <c r="J39"/>
  <c r="J48" s="1"/>
  <c r="K152" i="2" s="1"/>
  <c r="K53" i="1"/>
  <c r="L58"/>
  <c r="L59" s="1"/>
  <c r="M11" i="15" s="1"/>
  <c r="M13" s="1"/>
  <c r="M15" s="1"/>
  <c r="I18" l="1"/>
  <c r="I20" s="1"/>
  <c r="I22" s="1"/>
  <c r="J315" i="9"/>
  <c r="I295"/>
  <c r="H217"/>
  <c r="H213"/>
  <c r="H52" i="11"/>
  <c r="G243" i="9"/>
  <c r="E211"/>
  <c r="F211"/>
  <c r="I313"/>
  <c r="H250"/>
  <c r="I366"/>
  <c r="H255"/>
  <c r="I315"/>
  <c r="H252"/>
  <c r="I312"/>
  <c r="H249"/>
  <c r="I305"/>
  <c r="H227"/>
  <c r="I298"/>
  <c r="H220"/>
  <c r="J314"/>
  <c r="I251"/>
  <c r="J317"/>
  <c r="I254"/>
  <c r="I283"/>
  <c r="H190"/>
  <c r="I289"/>
  <c r="H196"/>
  <c r="I281"/>
  <c r="H188"/>
  <c r="I286"/>
  <c r="H193"/>
  <c r="G50" i="11"/>
  <c r="H51"/>
  <c r="H47"/>
  <c r="G28"/>
  <c r="G53"/>
  <c r="H20"/>
  <c r="H46"/>
  <c r="H49"/>
  <c r="G48"/>
  <c r="G30"/>
  <c r="G35"/>
  <c r="H15"/>
  <c r="G273" i="9"/>
  <c r="F37" i="11"/>
  <c r="G37"/>
  <c r="I317" i="9"/>
  <c r="H254"/>
  <c r="I314"/>
  <c r="H251"/>
  <c r="I311"/>
  <c r="H248"/>
  <c r="I316"/>
  <c r="H253"/>
  <c r="I303"/>
  <c r="H225"/>
  <c r="I299"/>
  <c r="H221"/>
  <c r="J312"/>
  <c r="I249"/>
  <c r="I285"/>
  <c r="H192"/>
  <c r="I282"/>
  <c r="H189"/>
  <c r="H50" i="11"/>
  <c r="H44"/>
  <c r="G47"/>
  <c r="G29"/>
  <c r="H53"/>
  <c r="F53"/>
  <c r="H18"/>
  <c r="H12"/>
  <c r="H19"/>
  <c r="G46"/>
  <c r="G49"/>
  <c r="H45"/>
  <c r="G45"/>
  <c r="H48"/>
  <c r="G34"/>
  <c r="G32"/>
  <c r="G52"/>
  <c r="K18" i="15"/>
  <c r="K19"/>
  <c r="U73" i="9"/>
  <c r="U173"/>
  <c r="U74"/>
  <c r="J18" i="15"/>
  <c r="H19"/>
  <c r="H18"/>
  <c r="I363" i="9"/>
  <c r="O172"/>
  <c r="S172"/>
  <c r="L81" i="2"/>
  <c r="J247" i="9" s="1"/>
  <c r="L85" i="2"/>
  <c r="J251" i="9" s="1"/>
  <c r="L89" i="2"/>
  <c r="J255" i="9" s="1"/>
  <c r="L84" i="2"/>
  <c r="L88"/>
  <c r="J254" i="9" s="1"/>
  <c r="L83" i="2"/>
  <c r="J249" i="9" s="1"/>
  <c r="L87" i="2"/>
  <c r="L91"/>
  <c r="L90"/>
  <c r="J256" i="9" s="1"/>
  <c r="L86" i="2"/>
  <c r="J252" i="9" s="1"/>
  <c r="L82" i="2"/>
  <c r="J248" i="9" s="1"/>
  <c r="K68" i="2"/>
  <c r="K67"/>
  <c r="K66"/>
  <c r="I217" i="9" s="1"/>
  <c r="K70" i="2"/>
  <c r="I221" i="9" s="1"/>
  <c r="K74" i="2"/>
  <c r="K72"/>
  <c r="K69"/>
  <c r="I220" i="9" s="1"/>
  <c r="K71" i="2"/>
  <c r="I222" i="9" s="1"/>
  <c r="K76" i="2"/>
  <c r="I227" i="9" s="1"/>
  <c r="K73" i="2"/>
  <c r="K75"/>
  <c r="K54"/>
  <c r="K58"/>
  <c r="K53"/>
  <c r="I189" i="9" s="1"/>
  <c r="K57" i="2"/>
  <c r="I193" i="9" s="1"/>
  <c r="K61" i="2"/>
  <c r="K52"/>
  <c r="K56"/>
  <c r="K60"/>
  <c r="I196" i="9" s="1"/>
  <c r="K51" i="2"/>
  <c r="I187" i="9" s="1"/>
  <c r="K55" i="2"/>
  <c r="K59"/>
  <c r="I195" i="9" s="1"/>
  <c r="G129" i="2"/>
  <c r="E242" i="9" s="1"/>
  <c r="H129" i="2"/>
  <c r="G114"/>
  <c r="H114"/>
  <c r="G212" i="9" s="1"/>
  <c r="I318"/>
  <c r="L63" i="8"/>
  <c r="G41" i="15"/>
  <c r="I41"/>
  <c r="H41"/>
  <c r="I360" i="9"/>
  <c r="G75" i="6"/>
  <c r="H27" i="15" s="1"/>
  <c r="I47" i="1"/>
  <c r="J151" i="2" s="1"/>
  <c r="I65" i="6" s="1"/>
  <c r="H47" i="1"/>
  <c r="I151" i="2" s="1"/>
  <c r="H65" i="6" s="1"/>
  <c r="H67" s="1"/>
  <c r="H55"/>
  <c r="H57" s="1"/>
  <c r="H58" s="1"/>
  <c r="H46"/>
  <c r="H48" s="1"/>
  <c r="H49" s="1"/>
  <c r="I46"/>
  <c r="I55"/>
  <c r="I57" s="1"/>
  <c r="I58" s="1"/>
  <c r="I46" i="1"/>
  <c r="J150" i="2" s="1"/>
  <c r="I64" i="6" s="1"/>
  <c r="I45"/>
  <c r="J47"/>
  <c r="J45"/>
  <c r="K61" i="8"/>
  <c r="K150" i="2"/>
  <c r="J64" i="6" s="1"/>
  <c r="J56"/>
  <c r="J54"/>
  <c r="G20" i="15"/>
  <c r="G22" s="1"/>
  <c r="U105" i="9"/>
  <c r="L20" i="15"/>
  <c r="L22" s="1"/>
  <c r="J25" i="6"/>
  <c r="J66"/>
  <c r="J23"/>
  <c r="M18" i="15"/>
  <c r="M19"/>
  <c r="I93" i="8"/>
  <c r="I44" i="15" s="1"/>
  <c r="J65" i="8"/>
  <c r="J66" s="1"/>
  <c r="K94"/>
  <c r="K45" i="15" s="1"/>
  <c r="I43" i="8"/>
  <c r="J91"/>
  <c r="J42" i="15" s="1"/>
  <c r="K40" i="8"/>
  <c r="K62"/>
  <c r="H52"/>
  <c r="H92"/>
  <c r="H43" i="15" s="1"/>
  <c r="G52" i="8"/>
  <c r="G92"/>
  <c r="G96" s="1"/>
  <c r="G97" s="1"/>
  <c r="J21"/>
  <c r="J89"/>
  <c r="J40" i="15" s="1"/>
  <c r="J33" i="8"/>
  <c r="J90"/>
  <c r="L75"/>
  <c r="L94"/>
  <c r="L45" i="15" s="1"/>
  <c r="I78" i="7"/>
  <c r="I79" s="1"/>
  <c r="G57"/>
  <c r="G59" s="1"/>
  <c r="G60" s="1"/>
  <c r="G48"/>
  <c r="G50" s="1"/>
  <c r="G51" s="1"/>
  <c r="G18" i="6"/>
  <c r="J73" i="7"/>
  <c r="I85"/>
  <c r="J33" i="15" s="1"/>
  <c r="J75" i="7"/>
  <c r="J74"/>
  <c r="J77"/>
  <c r="K72"/>
  <c r="K74" s="1"/>
  <c r="M103" i="5"/>
  <c r="L71" i="7"/>
  <c r="L58"/>
  <c r="M91" i="5"/>
  <c r="L69" i="7"/>
  <c r="G79"/>
  <c r="M89" i="5"/>
  <c r="L67" i="7"/>
  <c r="M57" i="5"/>
  <c r="M90"/>
  <c r="L68" i="7"/>
  <c r="M97" i="5"/>
  <c r="L49" i="7"/>
  <c r="L70"/>
  <c r="L83" i="5"/>
  <c r="K25" i="7"/>
  <c r="L84" i="5"/>
  <c r="K35" i="7"/>
  <c r="J18"/>
  <c r="J19" s="1"/>
  <c r="L82" i="5"/>
  <c r="K15" i="7"/>
  <c r="G77" i="6"/>
  <c r="H29" i="15" s="1"/>
  <c r="H90" i="7"/>
  <c r="I38" i="15" s="1"/>
  <c r="H79" i="7"/>
  <c r="H48"/>
  <c r="H50" s="1"/>
  <c r="H88" s="1"/>
  <c r="I36" i="15" s="1"/>
  <c r="I49" i="8"/>
  <c r="I51" s="1"/>
  <c r="N195" i="2"/>
  <c r="M73" i="8"/>
  <c r="M74" s="1"/>
  <c r="M189" i="2"/>
  <c r="M186"/>
  <c r="H57" i="7"/>
  <c r="H59" s="1"/>
  <c r="H60" s="1"/>
  <c r="H375" i="9"/>
  <c r="H381"/>
  <c r="K32" i="8"/>
  <c r="H42" i="7"/>
  <c r="I343" i="9"/>
  <c r="J358"/>
  <c r="L180" i="2"/>
  <c r="J36" i="7"/>
  <c r="J38" s="1"/>
  <c r="M160" i="2"/>
  <c r="L17" i="8"/>
  <c r="M169" i="2"/>
  <c r="L30" i="8"/>
  <c r="M178" i="2"/>
  <c r="K16" i="7"/>
  <c r="H374" i="9"/>
  <c r="I41" i="7"/>
  <c r="J49" i="8" s="1"/>
  <c r="J51" s="1"/>
  <c r="I29" i="7"/>
  <c r="I86"/>
  <c r="J34" i="15" s="1"/>
  <c r="I328" i="9"/>
  <c r="M162" i="2"/>
  <c r="L19" i="8"/>
  <c r="M168" i="2"/>
  <c r="L29" i="8"/>
  <c r="L179" i="2"/>
  <c r="J26" i="7"/>
  <c r="J28" s="1"/>
  <c r="M161" i="2"/>
  <c r="L18" i="8"/>
  <c r="M170" i="2"/>
  <c r="L31" i="8"/>
  <c r="I39" i="7"/>
  <c r="I87"/>
  <c r="J35" i="15" s="1"/>
  <c r="K20" i="8"/>
  <c r="H24" i="6"/>
  <c r="H26" s="1"/>
  <c r="H15"/>
  <c r="H17" s="1"/>
  <c r="H74" s="1"/>
  <c r="I26" i="15" s="1"/>
  <c r="H34" i="6"/>
  <c r="H36" s="1"/>
  <c r="H37" s="1"/>
  <c r="H40" i="1"/>
  <c r="H41" s="1"/>
  <c r="I24" i="6"/>
  <c r="I34"/>
  <c r="I15"/>
  <c r="I23"/>
  <c r="I33"/>
  <c r="I40" i="1"/>
  <c r="I41" s="1"/>
  <c r="I14" i="6"/>
  <c r="G76"/>
  <c r="H28" i="15" s="1"/>
  <c r="G37" i="6"/>
  <c r="K30" i="1"/>
  <c r="K32" s="1"/>
  <c r="J34"/>
  <c r="J36" s="1"/>
  <c r="J32"/>
  <c r="F346" i="9"/>
  <c r="F144"/>
  <c r="F145" s="1"/>
  <c r="Z180" s="1"/>
  <c r="G137"/>
  <c r="F51" i="7"/>
  <c r="F88"/>
  <c r="G36" i="15" s="1"/>
  <c r="F89" i="7"/>
  <c r="G37" i="15" s="1"/>
  <c r="I36" i="1"/>
  <c r="F361" i="9"/>
  <c r="E361" s="1"/>
  <c r="G153"/>
  <c r="F160"/>
  <c r="F161" s="1"/>
  <c r="Z181" s="1"/>
  <c r="F331"/>
  <c r="F128"/>
  <c r="F129" s="1"/>
  <c r="Z179" s="1"/>
  <c r="G121"/>
  <c r="F169"/>
  <c r="F177" s="1"/>
  <c r="F178" s="1"/>
  <c r="Z182" s="1"/>
  <c r="H376"/>
  <c r="I335"/>
  <c r="I331"/>
  <c r="I329"/>
  <c r="E319"/>
  <c r="F367"/>
  <c r="J366"/>
  <c r="I345"/>
  <c r="I352"/>
  <c r="I330"/>
  <c r="H367"/>
  <c r="H383" s="1"/>
  <c r="I351"/>
  <c r="I353"/>
  <c r="J363"/>
  <c r="I336"/>
  <c r="I332"/>
  <c r="I337"/>
  <c r="I367"/>
  <c r="I350"/>
  <c r="I346"/>
  <c r="J362"/>
  <c r="E336"/>
  <c r="E382" s="1"/>
  <c r="F382"/>
  <c r="H377"/>
  <c r="H380"/>
  <c r="G291"/>
  <c r="J361"/>
  <c r="E381"/>
  <c r="G306"/>
  <c r="I338"/>
  <c r="J367"/>
  <c r="I348"/>
  <c r="I344"/>
  <c r="J364"/>
  <c r="J360"/>
  <c r="G382"/>
  <c r="I333"/>
  <c r="G367"/>
  <c r="I347"/>
  <c r="J359"/>
  <c r="H382"/>
  <c r="H378"/>
  <c r="G198"/>
  <c r="O141"/>
  <c r="T140"/>
  <c r="U141" s="1"/>
  <c r="U90" s="1"/>
  <c r="T156"/>
  <c r="U157" s="1"/>
  <c r="U106" s="1"/>
  <c r="O156"/>
  <c r="O173" s="1"/>
  <c r="Q124"/>
  <c r="Q156"/>
  <c r="T172"/>
  <c r="M172"/>
  <c r="N124"/>
  <c r="P172"/>
  <c r="S156"/>
  <c r="S173" s="1"/>
  <c r="P140"/>
  <c r="Q172"/>
  <c r="R124"/>
  <c r="R140"/>
  <c r="N156"/>
  <c r="R156"/>
  <c r="O186"/>
  <c r="P156"/>
  <c r="N141"/>
  <c r="M126"/>
  <c r="L174"/>
  <c r="M142"/>
  <c r="L176"/>
  <c r="M157"/>
  <c r="M125"/>
  <c r="L173"/>
  <c r="L123"/>
  <c r="K171"/>
  <c r="M141"/>
  <c r="M158"/>
  <c r="M156"/>
  <c r="J144" i="2"/>
  <c r="H272" i="9" s="1"/>
  <c r="J112" i="2"/>
  <c r="I210" i="9" s="1"/>
  <c r="J108" i="2"/>
  <c r="I206" i="9" s="1"/>
  <c r="I16" i="11" s="1"/>
  <c r="J113" i="2"/>
  <c r="I211" i="9" s="1"/>
  <c r="J106" i="2"/>
  <c r="I204" i="9" s="1"/>
  <c r="J114" i="2"/>
  <c r="I212" i="9" s="1"/>
  <c r="J109" i="2"/>
  <c r="I207" i="9" s="1"/>
  <c r="J107" i="2"/>
  <c r="I205" i="9" s="1"/>
  <c r="J110" i="2"/>
  <c r="I208" i="9" s="1"/>
  <c r="J104" i="2"/>
  <c r="I202" i="9" s="1"/>
  <c r="J111" i="2"/>
  <c r="I209" i="9" s="1"/>
  <c r="J105" i="2"/>
  <c r="I203" i="9" s="1"/>
  <c r="K143" i="2"/>
  <c r="I271" i="9" s="1"/>
  <c r="K139" i="2"/>
  <c r="I267" i="9" s="1"/>
  <c r="K135" i="2"/>
  <c r="I263" i="9" s="1"/>
  <c r="K142" i="2"/>
  <c r="I270" i="9" s="1"/>
  <c r="K144" i="2"/>
  <c r="I272" i="9" s="1"/>
  <c r="K137" i="2"/>
  <c r="I265" i="9" s="1"/>
  <c r="K140" i="2"/>
  <c r="I268" i="9" s="1"/>
  <c r="K138" i="2"/>
  <c r="I266" i="9" s="1"/>
  <c r="K136" i="2"/>
  <c r="I264" i="9" s="1"/>
  <c r="K141" i="2"/>
  <c r="I269" i="9" s="1"/>
  <c r="K134" i="2"/>
  <c r="I262" i="9" s="1"/>
  <c r="J126" i="2"/>
  <c r="H239" i="9" s="1"/>
  <c r="J122" i="2"/>
  <c r="H235" i="9" s="1"/>
  <c r="J127" i="2"/>
  <c r="H240" i="9" s="1"/>
  <c r="H36" i="11" s="1"/>
  <c r="J121" i="2"/>
  <c r="H234" i="9" s="1"/>
  <c r="J129" i="2"/>
  <c r="H242" i="9" s="1"/>
  <c r="J128" i="2"/>
  <c r="H241" i="9" s="1"/>
  <c r="J120" i="2"/>
  <c r="H233" i="9" s="1"/>
  <c r="J119" i="2"/>
  <c r="H232" i="9" s="1"/>
  <c r="J125" i="2"/>
  <c r="H238" i="9" s="1"/>
  <c r="J124" i="2"/>
  <c r="H237" i="9" s="1"/>
  <c r="J123" i="2"/>
  <c r="H236" i="9" s="1"/>
  <c r="G144" i="2"/>
  <c r="E272" i="9" s="1"/>
  <c r="H144" i="2"/>
  <c r="F272" i="9" s="1"/>
  <c r="K310"/>
  <c r="K314"/>
  <c r="K317"/>
  <c r="J305"/>
  <c r="J299"/>
  <c r="H320"/>
  <c r="G320"/>
  <c r="F320"/>
  <c r="I320"/>
  <c r="J320"/>
  <c r="J282"/>
  <c r="J288"/>
  <c r="K97" i="2"/>
  <c r="K19"/>
  <c r="J14" i="6"/>
  <c r="J16"/>
  <c r="L12" i="2"/>
  <c r="L34"/>
  <c r="M46"/>
  <c r="L99"/>
  <c r="L27"/>
  <c r="L45"/>
  <c r="K98"/>
  <c r="R141" i="9"/>
  <c r="P141"/>
  <c r="T141"/>
  <c r="U142" s="1"/>
  <c r="U91" s="1"/>
  <c r="T125"/>
  <c r="U126" s="1"/>
  <c r="Q125"/>
  <c r="P125"/>
  <c r="L65" i="5"/>
  <c r="L44" i="2"/>
  <c r="L29" i="1"/>
  <c r="L33" s="1"/>
  <c r="K37"/>
  <c r="K46" s="1"/>
  <c r="L31"/>
  <c r="L35" s="1"/>
  <c r="K39"/>
  <c r="K48" s="1"/>
  <c r="L152" i="2" s="1"/>
  <c r="M58" i="1"/>
  <c r="M59" s="1"/>
  <c r="N11" i="15" s="1"/>
  <c r="N13" s="1"/>
  <c r="N15" s="1"/>
  <c r="L53" i="1"/>
  <c r="J289" i="9" l="1"/>
  <c r="K312"/>
  <c r="J295"/>
  <c r="J280"/>
  <c r="J298"/>
  <c r="K311"/>
  <c r="K20" i="15"/>
  <c r="K22" s="1"/>
  <c r="J300" i="9"/>
  <c r="K318"/>
  <c r="I273"/>
  <c r="J286"/>
  <c r="K315"/>
  <c r="F54" i="11"/>
  <c r="G54"/>
  <c r="I54"/>
  <c r="H54"/>
  <c r="E273" i="9"/>
  <c r="H243"/>
  <c r="F212"/>
  <c r="E212"/>
  <c r="E243"/>
  <c r="J284"/>
  <c r="I191"/>
  <c r="J281"/>
  <c r="I188"/>
  <c r="J287"/>
  <c r="I194"/>
  <c r="J304"/>
  <c r="I226"/>
  <c r="J303"/>
  <c r="I225"/>
  <c r="J297"/>
  <c r="I219"/>
  <c r="K320"/>
  <c r="J257"/>
  <c r="K313"/>
  <c r="J250"/>
  <c r="F21" i="11"/>
  <c r="G21"/>
  <c r="H21"/>
  <c r="I21"/>
  <c r="I52"/>
  <c r="H35"/>
  <c r="H33"/>
  <c r="I46"/>
  <c r="I14"/>
  <c r="I18"/>
  <c r="H28"/>
  <c r="I19"/>
  <c r="I15"/>
  <c r="H32"/>
  <c r="I49"/>
  <c r="I53"/>
  <c r="I47"/>
  <c r="I50"/>
  <c r="G228" i="9"/>
  <c r="F242"/>
  <c r="J285"/>
  <c r="I192"/>
  <c r="J290"/>
  <c r="I197"/>
  <c r="J283"/>
  <c r="I190"/>
  <c r="J302"/>
  <c r="I224"/>
  <c r="J301"/>
  <c r="I223"/>
  <c r="J296"/>
  <c r="I218"/>
  <c r="K316"/>
  <c r="J253"/>
  <c r="I213"/>
  <c r="I13" i="11"/>
  <c r="H34"/>
  <c r="I20"/>
  <c r="I12"/>
  <c r="H29"/>
  <c r="F273" i="9"/>
  <c r="I51" i="11"/>
  <c r="H273" i="9"/>
  <c r="H37" i="11"/>
  <c r="I17"/>
  <c r="I48"/>
  <c r="H31"/>
  <c r="I44"/>
  <c r="G213" i="9"/>
  <c r="I45" i="11"/>
  <c r="H30"/>
  <c r="Q173" i="9"/>
  <c r="J20" i="15"/>
  <c r="J22" s="1"/>
  <c r="U75" i="9"/>
  <c r="U174"/>
  <c r="H20" i="15"/>
  <c r="H22" s="1"/>
  <c r="H39"/>
  <c r="M82" i="2"/>
  <c r="M86"/>
  <c r="K252" i="9" s="1"/>
  <c r="M90" i="2"/>
  <c r="K256" i="9" s="1"/>
  <c r="M81" i="2"/>
  <c r="K247" i="9" s="1"/>
  <c r="M85" i="2"/>
  <c r="M89"/>
  <c r="M84"/>
  <c r="K250" i="9" s="1"/>
  <c r="M88" i="2"/>
  <c r="K254" i="9" s="1"/>
  <c r="M87" i="2"/>
  <c r="M91"/>
  <c r="K257" i="9" s="1"/>
  <c r="M83" i="2"/>
  <c r="K249" i="9" s="1"/>
  <c r="L51" i="2"/>
  <c r="J187" i="9" s="1"/>
  <c r="L55" i="2"/>
  <c r="J191" i="9" s="1"/>
  <c r="L59" i="2"/>
  <c r="J195" i="9" s="1"/>
  <c r="L54" i="2"/>
  <c r="J190" i="9" s="1"/>
  <c r="L58" i="2"/>
  <c r="L53"/>
  <c r="L57"/>
  <c r="L61"/>
  <c r="J197" i="9" s="1"/>
  <c r="L52" i="2"/>
  <c r="L56"/>
  <c r="L60"/>
  <c r="J196" i="9" s="1"/>
  <c r="L69" i="2"/>
  <c r="L67"/>
  <c r="J218" i="9" s="1"/>
  <c r="L71" i="2"/>
  <c r="L75"/>
  <c r="L76"/>
  <c r="L73"/>
  <c r="J224" i="9" s="1"/>
  <c r="L74" i="2"/>
  <c r="L72"/>
  <c r="L68"/>
  <c r="J219" i="9" s="1"/>
  <c r="L70" i="2"/>
  <c r="J221" i="9" s="1"/>
  <c r="L66" i="2"/>
  <c r="F228" i="9"/>
  <c r="E228"/>
  <c r="F198"/>
  <c r="E198"/>
  <c r="M63" i="8"/>
  <c r="L313" i="9"/>
  <c r="H96" i="8"/>
  <c r="H97" s="1"/>
  <c r="J41" i="15"/>
  <c r="K47" i="6"/>
  <c r="K45"/>
  <c r="L61" i="8"/>
  <c r="L150" i="2"/>
  <c r="K64" i="6" s="1"/>
  <c r="K56"/>
  <c r="K54"/>
  <c r="P173" i="9"/>
  <c r="M20" i="15"/>
  <c r="M22" s="1"/>
  <c r="E258" i="9"/>
  <c r="F258"/>
  <c r="K25" i="6"/>
  <c r="K66"/>
  <c r="K23"/>
  <c r="N18" i="15"/>
  <c r="N19"/>
  <c r="K42" i="8"/>
  <c r="K91" s="1"/>
  <c r="K42" i="15" s="1"/>
  <c r="J93" i="8"/>
  <c r="J44" i="15" s="1"/>
  <c r="K65" i="8"/>
  <c r="K66" s="1"/>
  <c r="I376" i="9"/>
  <c r="G32" i="15"/>
  <c r="G88" i="7"/>
  <c r="H36" i="15" s="1"/>
  <c r="K319" i="9"/>
  <c r="G89" i="7"/>
  <c r="H37" i="15" s="1"/>
  <c r="J43" i="8"/>
  <c r="L40"/>
  <c r="L42" s="1"/>
  <c r="L62"/>
  <c r="K367" i="9"/>
  <c r="G43" i="15"/>
  <c r="G39" s="1"/>
  <c r="J52" i="8"/>
  <c r="J92"/>
  <c r="J43" i="15" s="1"/>
  <c r="I52" i="8"/>
  <c r="I92"/>
  <c r="I96" s="1"/>
  <c r="K33"/>
  <c r="K90"/>
  <c r="K21"/>
  <c r="K89"/>
  <c r="K40" i="15" s="1"/>
  <c r="M75" i="8"/>
  <c r="M94"/>
  <c r="M45" i="15" s="1"/>
  <c r="I90" i="7"/>
  <c r="J38" i="15" s="1"/>
  <c r="J85" i="7"/>
  <c r="K33" i="15" s="1"/>
  <c r="J78" i="7"/>
  <c r="J90" s="1"/>
  <c r="K38" i="15" s="1"/>
  <c r="I379" i="9"/>
  <c r="K18" i="7"/>
  <c r="K85" s="1"/>
  <c r="L33" i="15" s="1"/>
  <c r="K77" i="7"/>
  <c r="N90" i="5"/>
  <c r="M68" i="7"/>
  <c r="N57" i="5"/>
  <c r="N97"/>
  <c r="M70" i="7"/>
  <c r="M49"/>
  <c r="L72"/>
  <c r="L77" s="1"/>
  <c r="N103" i="5"/>
  <c r="M71" i="7"/>
  <c r="M58"/>
  <c r="M83" i="5"/>
  <c r="L25" i="7"/>
  <c r="N89" i="5"/>
  <c r="M67" i="7"/>
  <c r="N91" i="5"/>
  <c r="M69" i="7"/>
  <c r="K76"/>
  <c r="K75"/>
  <c r="K73"/>
  <c r="H51"/>
  <c r="M84" i="5"/>
  <c r="L35" i="7"/>
  <c r="M82" i="5"/>
  <c r="L15" i="7"/>
  <c r="H89"/>
  <c r="G67" i="6"/>
  <c r="F67"/>
  <c r="J38" i="1"/>
  <c r="J34" i="6" s="1"/>
  <c r="O195" i="2"/>
  <c r="N73" i="8"/>
  <c r="N74" s="1"/>
  <c r="F91" i="7"/>
  <c r="F92" s="1"/>
  <c r="N189" i="2"/>
  <c r="N186"/>
  <c r="H77" i="6"/>
  <c r="I29" i="15" s="1"/>
  <c r="I36" i="6"/>
  <c r="I76" s="1"/>
  <c r="J28" i="15" s="1"/>
  <c r="I382" i="9"/>
  <c r="I383"/>
  <c r="K358"/>
  <c r="J328"/>
  <c r="J343"/>
  <c r="H76" i="6"/>
  <c r="I28" i="15" s="1"/>
  <c r="N161" i="2"/>
  <c r="M18" i="8"/>
  <c r="L32"/>
  <c r="I374" i="9"/>
  <c r="L20" i="8"/>
  <c r="N168" i="2"/>
  <c r="M29" i="8"/>
  <c r="I42" i="7"/>
  <c r="N178" i="2"/>
  <c r="L16" i="7"/>
  <c r="N160" i="2"/>
  <c r="M17" i="8"/>
  <c r="N170" i="2"/>
  <c r="M31" i="8"/>
  <c r="J41" i="7"/>
  <c r="K49" i="8" s="1"/>
  <c r="K51" s="1"/>
  <c r="J29" i="7"/>
  <c r="J86"/>
  <c r="K34" i="15" s="1"/>
  <c r="I48" i="7"/>
  <c r="I50" s="1"/>
  <c r="I57"/>
  <c r="I59" s="1"/>
  <c r="J39"/>
  <c r="J87"/>
  <c r="K35" i="15" s="1"/>
  <c r="I48" i="6"/>
  <c r="I49" s="1"/>
  <c r="M179" i="2"/>
  <c r="K26" i="7"/>
  <c r="K28" s="1"/>
  <c r="N162" i="2"/>
  <c r="M19" i="8"/>
  <c r="N169" i="2"/>
  <c r="M30" i="8"/>
  <c r="M180" i="2"/>
  <c r="K36" i="7"/>
  <c r="K38" s="1"/>
  <c r="I17" i="6"/>
  <c r="I18" s="1"/>
  <c r="H18"/>
  <c r="H75"/>
  <c r="I27" i="15" s="1"/>
  <c r="H27" i="6"/>
  <c r="I26"/>
  <c r="I27" s="1"/>
  <c r="E331" i="9"/>
  <c r="E339" s="1"/>
  <c r="F377"/>
  <c r="H78" i="6"/>
  <c r="I30" i="15" s="1"/>
  <c r="H68" i="6"/>
  <c r="F339" i="9"/>
  <c r="H154"/>
  <c r="G160"/>
  <c r="G161" s="1"/>
  <c r="AA181" s="1"/>
  <c r="G362"/>
  <c r="E346"/>
  <c r="E354" s="1"/>
  <c r="F354"/>
  <c r="H122"/>
  <c r="G128"/>
  <c r="G129" s="1"/>
  <c r="AA179" s="1"/>
  <c r="G170"/>
  <c r="G177" s="1"/>
  <c r="G178" s="1"/>
  <c r="AA182" s="1"/>
  <c r="G332"/>
  <c r="G144"/>
  <c r="G145" s="1"/>
  <c r="AA180" s="1"/>
  <c r="H138"/>
  <c r="G347"/>
  <c r="G354" s="1"/>
  <c r="L30" i="1"/>
  <c r="K34"/>
  <c r="K36" s="1"/>
  <c r="J333" i="9"/>
  <c r="I321"/>
  <c r="I258"/>
  <c r="J368"/>
  <c r="J336"/>
  <c r="J332"/>
  <c r="J329"/>
  <c r="H321"/>
  <c r="I368"/>
  <c r="G321"/>
  <c r="H80" i="15" s="1"/>
  <c r="H81" s="1"/>
  <c r="H79" s="1"/>
  <c r="H368" i="9"/>
  <c r="J349"/>
  <c r="J345"/>
  <c r="K362"/>
  <c r="H306"/>
  <c r="I378"/>
  <c r="I377"/>
  <c r="J331"/>
  <c r="J337"/>
  <c r="E320"/>
  <c r="E321" s="1"/>
  <c r="F368"/>
  <c r="F369" s="1"/>
  <c r="J352"/>
  <c r="J347"/>
  <c r="J353"/>
  <c r="K365"/>
  <c r="K361"/>
  <c r="G383"/>
  <c r="J334"/>
  <c r="J338"/>
  <c r="F321"/>
  <c r="G80" i="15" s="1"/>
  <c r="G81" s="1"/>
  <c r="G79" s="1"/>
  <c r="G368" i="9"/>
  <c r="G384" s="1"/>
  <c r="J351"/>
  <c r="J348"/>
  <c r="J344"/>
  <c r="K364"/>
  <c r="K360"/>
  <c r="F383"/>
  <c r="E367"/>
  <c r="E383" s="1"/>
  <c r="H198"/>
  <c r="J330"/>
  <c r="K368"/>
  <c r="J346"/>
  <c r="K363"/>
  <c r="K359"/>
  <c r="H228"/>
  <c r="I375"/>
  <c r="H291"/>
  <c r="I381"/>
  <c r="T173"/>
  <c r="O157"/>
  <c r="S141"/>
  <c r="R125"/>
  <c r="P157"/>
  <c r="P174" s="1"/>
  <c r="P142"/>
  <c r="S125"/>
  <c r="R173"/>
  <c r="T157"/>
  <c r="U158" s="1"/>
  <c r="U107" s="1"/>
  <c r="N173"/>
  <c r="O125"/>
  <c r="Q157"/>
  <c r="S157"/>
  <c r="R157"/>
  <c r="P186"/>
  <c r="Q141"/>
  <c r="Q174" s="1"/>
  <c r="N142"/>
  <c r="N143"/>
  <c r="N158"/>
  <c r="N126"/>
  <c r="M174"/>
  <c r="O142"/>
  <c r="N157"/>
  <c r="M124"/>
  <c r="L172"/>
  <c r="M175"/>
  <c r="N127"/>
  <c r="K113" i="2"/>
  <c r="J211" i="9" s="1"/>
  <c r="K109" i="2"/>
  <c r="J207" i="9" s="1"/>
  <c r="K114" i="2"/>
  <c r="J212" i="9" s="1"/>
  <c r="K108" i="2"/>
  <c r="J206" i="9" s="1"/>
  <c r="K107" i="2"/>
  <c r="J205" i="9" s="1"/>
  <c r="K110" i="2"/>
  <c r="J208" i="9" s="1"/>
  <c r="K104" i="2"/>
  <c r="J202" i="9" s="1"/>
  <c r="K111" i="2"/>
  <c r="J209" i="9" s="1"/>
  <c r="J19" i="11" s="1"/>
  <c r="K105" i="2"/>
  <c r="J203" i="9" s="1"/>
  <c r="K112" i="2"/>
  <c r="J210" i="9" s="1"/>
  <c r="K106" i="2"/>
  <c r="J204" i="9" s="1"/>
  <c r="L144" i="2"/>
  <c r="J272" i="9" s="1"/>
  <c r="L140" i="2"/>
  <c r="J268" i="9" s="1"/>
  <c r="L136" i="2"/>
  <c r="J264" i="9" s="1"/>
  <c r="L143" i="2"/>
  <c r="J271" i="9" s="1"/>
  <c r="J53" i="11" s="1"/>
  <c r="L138" i="2"/>
  <c r="J266" i="9" s="1"/>
  <c r="L139" i="2"/>
  <c r="J267" i="9" s="1"/>
  <c r="J49" i="11" s="1"/>
  <c r="L142" i="2"/>
  <c r="J270" i="9" s="1"/>
  <c r="J52" i="11" s="1"/>
  <c r="L137" i="2"/>
  <c r="J265" i="9" s="1"/>
  <c r="J47" i="11" s="1"/>
  <c r="L141" i="2"/>
  <c r="J269" i="9" s="1"/>
  <c r="L135" i="2"/>
  <c r="J263" i="9" s="1"/>
  <c r="L134" i="2"/>
  <c r="J262" i="9" s="1"/>
  <c r="K127" i="2"/>
  <c r="I240" i="9" s="1"/>
  <c r="K123" i="2"/>
  <c r="I236" i="9" s="1"/>
  <c r="K119" i="2"/>
  <c r="I232" i="9" s="1"/>
  <c r="K128" i="2"/>
  <c r="I241" i="9" s="1"/>
  <c r="I37" i="11" s="1"/>
  <c r="K122" i="2"/>
  <c r="I235" i="9" s="1"/>
  <c r="K126" i="2"/>
  <c r="I239" i="9" s="1"/>
  <c r="K125" i="2"/>
  <c r="I238" i="9" s="1"/>
  <c r="K124" i="2"/>
  <c r="I237" i="9" s="1"/>
  <c r="K129" i="2"/>
  <c r="I242" i="9" s="1"/>
  <c r="K121" i="2"/>
  <c r="I234" i="9" s="1"/>
  <c r="K120" i="2"/>
  <c r="I233" i="9" s="1"/>
  <c r="L320"/>
  <c r="K299"/>
  <c r="K302"/>
  <c r="L317"/>
  <c r="L319"/>
  <c r="K280"/>
  <c r="M45" i="2"/>
  <c r="L98"/>
  <c r="M27"/>
  <c r="L97"/>
  <c r="N46"/>
  <c r="M99"/>
  <c r="M34"/>
  <c r="M12"/>
  <c r="K14" i="6"/>
  <c r="K16"/>
  <c r="L19" i="2"/>
  <c r="J33" i="6"/>
  <c r="J35"/>
  <c r="I67"/>
  <c r="S142" i="9"/>
  <c r="Q142"/>
  <c r="Q126"/>
  <c r="R126"/>
  <c r="M65" i="5"/>
  <c r="M44" i="2"/>
  <c r="M29" i="1"/>
  <c r="M33" s="1"/>
  <c r="L32"/>
  <c r="L37"/>
  <c r="L46" s="1"/>
  <c r="M31"/>
  <c r="M35" s="1"/>
  <c r="L39"/>
  <c r="L48" s="1"/>
  <c r="M152" i="2" s="1"/>
  <c r="M53" i="1"/>
  <c r="N58"/>
  <c r="N59" s="1"/>
  <c r="O11" i="15" s="1"/>
  <c r="O13" s="1"/>
  <c r="O15" s="1"/>
  <c r="K290" i="9" l="1"/>
  <c r="L312"/>
  <c r="K283"/>
  <c r="K297"/>
  <c r="K288"/>
  <c r="K289"/>
  <c r="L315"/>
  <c r="L310"/>
  <c r="K296"/>
  <c r="K295"/>
  <c r="J217"/>
  <c r="K284"/>
  <c r="J273"/>
  <c r="I243"/>
  <c r="K303"/>
  <c r="J225"/>
  <c r="K305"/>
  <c r="J227"/>
  <c r="K300"/>
  <c r="J222"/>
  <c r="K298"/>
  <c r="J220"/>
  <c r="K285"/>
  <c r="J192"/>
  <c r="K282"/>
  <c r="J189"/>
  <c r="L316"/>
  <c r="K253"/>
  <c r="L314"/>
  <c r="K251"/>
  <c r="L311"/>
  <c r="K248"/>
  <c r="F243"/>
  <c r="F22" i="11"/>
  <c r="G22"/>
  <c r="G23" s="1"/>
  <c r="G61" s="1"/>
  <c r="H22"/>
  <c r="I22"/>
  <c r="J22"/>
  <c r="E213" i="9"/>
  <c r="J213"/>
  <c r="I29" i="11"/>
  <c r="I32"/>
  <c r="J15"/>
  <c r="I36"/>
  <c r="J20"/>
  <c r="I33"/>
  <c r="J16"/>
  <c r="J13"/>
  <c r="J50"/>
  <c r="J51"/>
  <c r="I31"/>
  <c r="I38"/>
  <c r="G38"/>
  <c r="G39" s="1"/>
  <c r="G62" s="1"/>
  <c r="J54"/>
  <c r="J14"/>
  <c r="J18"/>
  <c r="K301" i="9"/>
  <c r="J223"/>
  <c r="K304"/>
  <c r="J226"/>
  <c r="K281"/>
  <c r="J188"/>
  <c r="K286"/>
  <c r="J193"/>
  <c r="K287"/>
  <c r="J194"/>
  <c r="L318"/>
  <c r="K255"/>
  <c r="F213"/>
  <c r="I35" i="11"/>
  <c r="J48"/>
  <c r="J44"/>
  <c r="I28"/>
  <c r="J12"/>
  <c r="J46"/>
  <c r="J45"/>
  <c r="J17"/>
  <c r="I30"/>
  <c r="J21"/>
  <c r="H38"/>
  <c r="F38"/>
  <c r="F39" s="1"/>
  <c r="F62" s="1"/>
  <c r="I34"/>
  <c r="U175" i="9"/>
  <c r="H39" i="11"/>
  <c r="H62" s="1"/>
  <c r="M66" i="2"/>
  <c r="K217" i="9" s="1"/>
  <c r="M70" i="2"/>
  <c r="M68"/>
  <c r="M72"/>
  <c r="K223" i="9" s="1"/>
  <c r="M76" i="2"/>
  <c r="K227" i="9" s="1"/>
  <c r="M67" i="2"/>
  <c r="M73"/>
  <c r="M74"/>
  <c r="M69"/>
  <c r="K220" i="9" s="1"/>
  <c r="M71" i="2"/>
  <c r="M75"/>
  <c r="N81"/>
  <c r="L247" i="9" s="1"/>
  <c r="N83" i="2"/>
  <c r="L249" i="9" s="1"/>
  <c r="N87" i="2"/>
  <c r="L253" i="9" s="1"/>
  <c r="N91" i="2"/>
  <c r="N82"/>
  <c r="N86"/>
  <c r="L252" i="9" s="1"/>
  <c r="N90" i="2"/>
  <c r="L256" i="9" s="1"/>
  <c r="N85" i="2"/>
  <c r="N89"/>
  <c r="N88"/>
  <c r="L254" i="9" s="1"/>
  <c r="N84" i="2"/>
  <c r="L250" i="9" s="1"/>
  <c r="M52" i="2"/>
  <c r="K188" i="9" s="1"/>
  <c r="M56" i="2"/>
  <c r="M60"/>
  <c r="K196" i="9" s="1"/>
  <c r="M51" i="2"/>
  <c r="K187" i="9" s="1"/>
  <c r="M55" i="2"/>
  <c r="K191" i="9" s="1"/>
  <c r="M59" i="2"/>
  <c r="M54"/>
  <c r="K190" i="9" s="1"/>
  <c r="M58" i="2"/>
  <c r="M53"/>
  <c r="M57"/>
  <c r="M61"/>
  <c r="G76" i="15"/>
  <c r="G74" s="1"/>
  <c r="G83" s="1"/>
  <c r="F75"/>
  <c r="F74" s="1"/>
  <c r="F83" s="1"/>
  <c r="F85" s="1"/>
  <c r="F23" i="11"/>
  <c r="F61" s="1"/>
  <c r="H23"/>
  <c r="H61" s="1"/>
  <c r="J39" i="15"/>
  <c r="N63" i="8"/>
  <c r="J96"/>
  <c r="J97" s="1"/>
  <c r="K41" i="15"/>
  <c r="J47" i="1"/>
  <c r="K151" i="2" s="1"/>
  <c r="J65" i="6" s="1"/>
  <c r="J67" s="1"/>
  <c r="J55"/>
  <c r="J57" s="1"/>
  <c r="J58" s="1"/>
  <c r="J46"/>
  <c r="J48" s="1"/>
  <c r="J49" s="1"/>
  <c r="M61" i="8"/>
  <c r="M150" i="2"/>
  <c r="L64" i="6" s="1"/>
  <c r="L56"/>
  <c r="L54"/>
  <c r="L47"/>
  <c r="L45"/>
  <c r="K43" i="8"/>
  <c r="N20" i="15"/>
  <c r="N22" s="1"/>
  <c r="L25" i="6"/>
  <c r="L66"/>
  <c r="L23"/>
  <c r="O19" i="15"/>
  <c r="O18"/>
  <c r="J380" i="9"/>
  <c r="L65" i="8"/>
  <c r="L66" s="1"/>
  <c r="K93"/>
  <c r="K44" i="15" s="1"/>
  <c r="G91" i="7"/>
  <c r="G92" s="1"/>
  <c r="H32" i="15"/>
  <c r="H31" s="1"/>
  <c r="G31"/>
  <c r="V74"/>
  <c r="K19" i="7"/>
  <c r="L91" i="8"/>
  <c r="L42" i="15" s="1"/>
  <c r="M62" i="8"/>
  <c r="M40"/>
  <c r="I25" i="15"/>
  <c r="I80"/>
  <c r="I81" s="1"/>
  <c r="I79" s="1"/>
  <c r="H91" i="7"/>
  <c r="H92" s="1"/>
  <c r="I37" i="15"/>
  <c r="I32" s="1"/>
  <c r="I43"/>
  <c r="I39" s="1"/>
  <c r="I97" i="8"/>
  <c r="K52"/>
  <c r="K92"/>
  <c r="K43" i="15" s="1"/>
  <c r="L21" i="8"/>
  <c r="L89"/>
  <c r="L40" i="15" s="1"/>
  <c r="N75" i="8"/>
  <c r="N94"/>
  <c r="N45" i="15" s="1"/>
  <c r="L33" i="8"/>
  <c r="L90"/>
  <c r="L74" i="7"/>
  <c r="J79"/>
  <c r="K78"/>
  <c r="K90" s="1"/>
  <c r="L38" i="15" s="1"/>
  <c r="I37" i="6"/>
  <c r="L18" i="7"/>
  <c r="L19" s="1"/>
  <c r="M72"/>
  <c r="M74" s="1"/>
  <c r="L75"/>
  <c r="L73"/>
  <c r="L76"/>
  <c r="O89" i="5"/>
  <c r="N67" i="7"/>
  <c r="O90" i="5"/>
  <c r="N68" i="7"/>
  <c r="O91" i="5"/>
  <c r="N69" i="7"/>
  <c r="N83" i="5"/>
  <c r="M25" i="7"/>
  <c r="O103" i="5"/>
  <c r="N71" i="7"/>
  <c r="N58"/>
  <c r="O97" i="5"/>
  <c r="N70" i="7"/>
  <c r="N49"/>
  <c r="O57" i="5"/>
  <c r="N84"/>
  <c r="M35" i="7"/>
  <c r="N82" i="5"/>
  <c r="M15" i="7"/>
  <c r="K38" i="1"/>
  <c r="K34" i="6" s="1"/>
  <c r="G78"/>
  <c r="G68"/>
  <c r="J24"/>
  <c r="J26" s="1"/>
  <c r="J15"/>
  <c r="J17" s="1"/>
  <c r="J18" s="1"/>
  <c r="J40" i="1"/>
  <c r="J41" s="1"/>
  <c r="F68" i="6"/>
  <c r="F78"/>
  <c r="P195" i="2"/>
  <c r="O73" i="8"/>
  <c r="O74" s="1"/>
  <c r="O189" i="2"/>
  <c r="O186"/>
  <c r="I77" i="6"/>
  <c r="J29" i="15" s="1"/>
  <c r="J384" i="9"/>
  <c r="M20" i="8"/>
  <c r="K328" i="9"/>
  <c r="J376"/>
  <c r="J383"/>
  <c r="K39" i="7"/>
  <c r="K87"/>
  <c r="L35" i="15" s="1"/>
  <c r="I89" i="7"/>
  <c r="J37" i="15" s="1"/>
  <c r="I60" i="7"/>
  <c r="J57"/>
  <c r="J59" s="1"/>
  <c r="J48"/>
  <c r="J50" s="1"/>
  <c r="O168" i="2"/>
  <c r="N29" i="8"/>
  <c r="O161" i="2"/>
  <c r="N18" i="8"/>
  <c r="K343" i="9"/>
  <c r="N180" i="2"/>
  <c r="L36" i="7"/>
  <c r="L38" s="1"/>
  <c r="O162" i="2"/>
  <c r="N19" i="8"/>
  <c r="I88" i="7"/>
  <c r="J36" i="15" s="1"/>
  <c r="I51" i="7"/>
  <c r="O178" i="2"/>
  <c r="M16" i="7"/>
  <c r="J374" i="9"/>
  <c r="L358"/>
  <c r="K29" i="7"/>
  <c r="K86"/>
  <c r="L34" i="15" s="1"/>
  <c r="K41" i="7"/>
  <c r="L49" i="8" s="1"/>
  <c r="L51" s="1"/>
  <c r="O170" i="2"/>
  <c r="N31" i="8"/>
  <c r="O169" i="2"/>
  <c r="N30" i="8"/>
  <c r="N179" i="2"/>
  <c r="L26" i="7"/>
  <c r="L28" s="1"/>
  <c r="J42"/>
  <c r="O160" i="2"/>
  <c r="N17" i="8"/>
  <c r="M32"/>
  <c r="I75" i="6"/>
  <c r="J27" i="15" s="1"/>
  <c r="I74" i="6"/>
  <c r="J26" i="15" s="1"/>
  <c r="H79" i="6"/>
  <c r="H80" s="1"/>
  <c r="I78"/>
  <c r="J30" i="15" s="1"/>
  <c r="I68" i="6"/>
  <c r="I139" i="9"/>
  <c r="H144"/>
  <c r="H145" s="1"/>
  <c r="AB180" s="1"/>
  <c r="H348"/>
  <c r="H354" s="1"/>
  <c r="I123"/>
  <c r="H128"/>
  <c r="H129" s="1"/>
  <c r="AB179" s="1"/>
  <c r="H171"/>
  <c r="H177" s="1"/>
  <c r="H178" s="1"/>
  <c r="AB182" s="1"/>
  <c r="H333"/>
  <c r="E377"/>
  <c r="M30" i="1"/>
  <c r="M32" s="1"/>
  <c r="L34"/>
  <c r="L36" s="1"/>
  <c r="G378" i="9"/>
  <c r="G385" s="1"/>
  <c r="G339"/>
  <c r="H160"/>
  <c r="H161" s="1"/>
  <c r="AB181" s="1"/>
  <c r="I155"/>
  <c r="H363"/>
  <c r="H369" s="1"/>
  <c r="I384"/>
  <c r="L364"/>
  <c r="K353"/>
  <c r="L363"/>
  <c r="K329"/>
  <c r="L362"/>
  <c r="K349"/>
  <c r="K345"/>
  <c r="K335"/>
  <c r="K331"/>
  <c r="K338"/>
  <c r="L365"/>
  <c r="L361"/>
  <c r="K352"/>
  <c r="K347"/>
  <c r="K344"/>
  <c r="I228"/>
  <c r="G369"/>
  <c r="F55" i="11"/>
  <c r="F63" s="1"/>
  <c r="G55"/>
  <c r="G63" s="1"/>
  <c r="H55"/>
  <c r="H63" s="1"/>
  <c r="I55"/>
  <c r="I63" s="1"/>
  <c r="H384" i="9"/>
  <c r="H258"/>
  <c r="I76" i="15" s="1"/>
  <c r="I74" s="1"/>
  <c r="I291" i="9"/>
  <c r="J382"/>
  <c r="L360"/>
  <c r="K348"/>
  <c r="J258"/>
  <c r="I306"/>
  <c r="J377"/>
  <c r="G258"/>
  <c r="H76" i="15" s="1"/>
  <c r="H74" s="1"/>
  <c r="H83" s="1"/>
  <c r="J378" i="9"/>
  <c r="K334"/>
  <c r="K337"/>
  <c r="L359"/>
  <c r="K350"/>
  <c r="K346"/>
  <c r="J321"/>
  <c r="J375"/>
  <c r="K330"/>
  <c r="K333"/>
  <c r="K332"/>
  <c r="L366"/>
  <c r="L368"/>
  <c r="E368"/>
  <c r="F384"/>
  <c r="F385" s="1"/>
  <c r="I198"/>
  <c r="J379"/>
  <c r="Q186"/>
  <c r="T158"/>
  <c r="U159" s="1"/>
  <c r="U108" s="1"/>
  <c r="U109" s="1"/>
  <c r="U110" s="1"/>
  <c r="O174"/>
  <c r="P126"/>
  <c r="Q158"/>
  <c r="Q175" s="1"/>
  <c r="T174"/>
  <c r="S126"/>
  <c r="P158"/>
  <c r="R142"/>
  <c r="S158"/>
  <c r="R158"/>
  <c r="T126"/>
  <c r="U127" s="1"/>
  <c r="S174"/>
  <c r="Q143"/>
  <c r="Q144" s="1"/>
  <c r="Q145" s="1"/>
  <c r="AK180" s="1"/>
  <c r="R174"/>
  <c r="T142"/>
  <c r="U143" s="1"/>
  <c r="N144"/>
  <c r="N145" s="1"/>
  <c r="AH180" s="1"/>
  <c r="O143"/>
  <c r="O158"/>
  <c r="O127"/>
  <c r="N175"/>
  <c r="N125"/>
  <c r="M173"/>
  <c r="P143"/>
  <c r="L114" i="2"/>
  <c r="K212" i="9" s="1"/>
  <c r="L110" i="2"/>
  <c r="K208" i="9" s="1"/>
  <c r="L109" i="2"/>
  <c r="K207" i="9" s="1"/>
  <c r="L104" i="2"/>
  <c r="K202" i="9" s="1"/>
  <c r="L111" i="2"/>
  <c r="K209" i="9" s="1"/>
  <c r="L105" i="2"/>
  <c r="K203" i="9" s="1"/>
  <c r="L112" i="2"/>
  <c r="K210" i="9" s="1"/>
  <c r="K20" i="11" s="1"/>
  <c r="L106" i="2"/>
  <c r="K204" i="9" s="1"/>
  <c r="L113" i="2"/>
  <c r="K211" i="9" s="1"/>
  <c r="K21" i="11" s="1"/>
  <c r="L108" i="2"/>
  <c r="K206" i="9" s="1"/>
  <c r="L107" i="2"/>
  <c r="K205" i="9" s="1"/>
  <c r="L128" i="2"/>
  <c r="J241" i="9" s="1"/>
  <c r="L124" i="2"/>
  <c r="J237" i="9" s="1"/>
  <c r="L120" i="2"/>
  <c r="J233" i="9" s="1"/>
  <c r="L129" i="2"/>
  <c r="J242" i="9" s="1"/>
  <c r="L123" i="2"/>
  <c r="J236" i="9" s="1"/>
  <c r="L127" i="2"/>
  <c r="J240" i="9" s="1"/>
  <c r="L126" i="2"/>
  <c r="J239" i="9" s="1"/>
  <c r="J35" i="11" s="1"/>
  <c r="L125" i="2"/>
  <c r="J238" i="9" s="1"/>
  <c r="L122" i="2"/>
  <c r="J235" i="9" s="1"/>
  <c r="L121" i="2"/>
  <c r="J234" i="9" s="1"/>
  <c r="L119" i="2"/>
  <c r="J232" i="9" s="1"/>
  <c r="M141" i="2"/>
  <c r="K269" i="9" s="1"/>
  <c r="M137" i="2"/>
  <c r="K265" i="9" s="1"/>
  <c r="M144" i="2"/>
  <c r="K272" i="9" s="1"/>
  <c r="K54" i="11" s="1"/>
  <c r="M140" i="2"/>
  <c r="K268" i="9" s="1"/>
  <c r="M139" i="2"/>
  <c r="K267" i="9" s="1"/>
  <c r="M134" i="2"/>
  <c r="K262" i="9" s="1"/>
  <c r="M142" i="2"/>
  <c r="K270" i="9" s="1"/>
  <c r="M138" i="2"/>
  <c r="K266" i="9" s="1"/>
  <c r="M136" i="2"/>
  <c r="K264" i="9" s="1"/>
  <c r="M135" i="2"/>
  <c r="K263" i="9" s="1"/>
  <c r="M143" i="2"/>
  <c r="K271" i="9" s="1"/>
  <c r="L305"/>
  <c r="L301"/>
  <c r="M310"/>
  <c r="M313"/>
  <c r="M319"/>
  <c r="N27" i="2"/>
  <c r="J36" i="6"/>
  <c r="N34" i="2"/>
  <c r="M97"/>
  <c r="K35" i="6"/>
  <c r="K33"/>
  <c r="L16"/>
  <c r="L14"/>
  <c r="M19" i="2"/>
  <c r="N12"/>
  <c r="N45"/>
  <c r="M98"/>
  <c r="O46"/>
  <c r="N99"/>
  <c r="T143" i="9"/>
  <c r="R143"/>
  <c r="S127"/>
  <c r="R127"/>
  <c r="N65" i="5"/>
  <c r="N44" i="2"/>
  <c r="N29" i="1"/>
  <c r="N33" s="1"/>
  <c r="M37"/>
  <c r="M46" s="1"/>
  <c r="N31"/>
  <c r="N35" s="1"/>
  <c r="M39"/>
  <c r="M48" s="1"/>
  <c r="N152" i="2" s="1"/>
  <c r="O58" i="1"/>
  <c r="O59" s="1"/>
  <c r="P11" i="15" s="1"/>
  <c r="P13" s="1"/>
  <c r="P15" s="1"/>
  <c r="N53" i="1"/>
  <c r="L289" i="9" l="1"/>
  <c r="M312"/>
  <c r="L295"/>
  <c r="M317"/>
  <c r="L283"/>
  <c r="M315"/>
  <c r="L298"/>
  <c r="M316"/>
  <c r="L280"/>
  <c r="L281"/>
  <c r="L284"/>
  <c r="L290"/>
  <c r="K197"/>
  <c r="L282"/>
  <c r="K189"/>
  <c r="M314"/>
  <c r="L251"/>
  <c r="M320"/>
  <c r="L257"/>
  <c r="L304"/>
  <c r="K226"/>
  <c r="L302"/>
  <c r="K224"/>
  <c r="L297"/>
  <c r="K219"/>
  <c r="J38" i="11"/>
  <c r="K13"/>
  <c r="K51"/>
  <c r="K14"/>
  <c r="K15"/>
  <c r="J30"/>
  <c r="K22"/>
  <c r="K18"/>
  <c r="K53"/>
  <c r="K50"/>
  <c r="J33"/>
  <c r="K46"/>
  <c r="J243" i="9"/>
  <c r="L286"/>
  <c r="K193"/>
  <c r="L287"/>
  <c r="K194"/>
  <c r="L288"/>
  <c r="K195"/>
  <c r="L285"/>
  <c r="K192"/>
  <c r="M318"/>
  <c r="L255"/>
  <c r="M311"/>
  <c r="L248"/>
  <c r="L300"/>
  <c r="K222"/>
  <c r="L303"/>
  <c r="K225"/>
  <c r="L296"/>
  <c r="K218"/>
  <c r="L299"/>
  <c r="K221"/>
  <c r="K273"/>
  <c r="K213"/>
  <c r="K52" i="11"/>
  <c r="K49"/>
  <c r="J28"/>
  <c r="J37"/>
  <c r="K17"/>
  <c r="J34"/>
  <c r="K47"/>
  <c r="K16"/>
  <c r="K45"/>
  <c r="K12"/>
  <c r="J29"/>
  <c r="J31"/>
  <c r="K48"/>
  <c r="K44"/>
  <c r="J36"/>
  <c r="J32"/>
  <c r="K19"/>
  <c r="U76" i="9"/>
  <c r="U176"/>
  <c r="U177" s="1"/>
  <c r="U178" s="1"/>
  <c r="F64" i="11"/>
  <c r="G51" i="15" s="1"/>
  <c r="G50" s="1"/>
  <c r="G64" i="11"/>
  <c r="H51" i="15" s="1"/>
  <c r="H50" s="1"/>
  <c r="H64" i="11"/>
  <c r="S175" i="9"/>
  <c r="R175"/>
  <c r="U160"/>
  <c r="U161" s="1"/>
  <c r="N53" i="2"/>
  <c r="N57"/>
  <c r="N61"/>
  <c r="N52"/>
  <c r="N56"/>
  <c r="N60"/>
  <c r="L196" i="9" s="1"/>
  <c r="N51" i="2"/>
  <c r="N55"/>
  <c r="N59"/>
  <c r="N54"/>
  <c r="L190" i="9" s="1"/>
  <c r="N58" i="2"/>
  <c r="L194" i="9" s="1"/>
  <c r="O91" i="2"/>
  <c r="M257" i="9" s="1"/>
  <c r="O84" i="2"/>
  <c r="O88"/>
  <c r="M254" i="9" s="1"/>
  <c r="O83" i="2"/>
  <c r="O87"/>
  <c r="M253" i="9" s="1"/>
  <c r="O82" i="2"/>
  <c r="O86"/>
  <c r="M252" i="9" s="1"/>
  <c r="O90" i="2"/>
  <c r="O89"/>
  <c r="O81"/>
  <c r="O85"/>
  <c r="M251" i="9" s="1"/>
  <c r="N67" i="2"/>
  <c r="N66"/>
  <c r="L217" i="9" s="1"/>
  <c r="N69" i="2"/>
  <c r="N73"/>
  <c r="L224" i="9" s="1"/>
  <c r="N71" i="2"/>
  <c r="N75"/>
  <c r="L226" i="9" s="1"/>
  <c r="N72" i="2"/>
  <c r="N74"/>
  <c r="L225" i="9" s="1"/>
  <c r="N68" i="2"/>
  <c r="N70"/>
  <c r="L221" i="9" s="1"/>
  <c r="N76" i="2"/>
  <c r="O63" i="8"/>
  <c r="K39" i="15"/>
  <c r="K96" i="8"/>
  <c r="K97" s="1"/>
  <c r="L41" i="15"/>
  <c r="K15" i="6"/>
  <c r="K17" s="1"/>
  <c r="K18" s="1"/>
  <c r="K47" i="1"/>
  <c r="L151" i="2" s="1"/>
  <c r="K65" i="6" s="1"/>
  <c r="K67" s="1"/>
  <c r="K46"/>
  <c r="K48" s="1"/>
  <c r="K49" s="1"/>
  <c r="K55"/>
  <c r="K57" s="1"/>
  <c r="K58" s="1"/>
  <c r="M47"/>
  <c r="M45"/>
  <c r="M56"/>
  <c r="M54"/>
  <c r="N61" i="8"/>
  <c r="N150" i="2"/>
  <c r="M64" i="6" s="1"/>
  <c r="U92" i="9"/>
  <c r="U93" s="1"/>
  <c r="U94" s="1"/>
  <c r="U144"/>
  <c r="U145" s="1"/>
  <c r="J77" i="6"/>
  <c r="K29" i="15" s="1"/>
  <c r="O20"/>
  <c r="O22" s="1"/>
  <c r="M25" i="6"/>
  <c r="M66"/>
  <c r="K24"/>
  <c r="K26" s="1"/>
  <c r="K75" s="1"/>
  <c r="L27" i="15" s="1"/>
  <c r="M23" i="6"/>
  <c r="P18" i="15"/>
  <c r="P19"/>
  <c r="M42" i="8"/>
  <c r="M91" s="1"/>
  <c r="M42" i="15" s="1"/>
  <c r="M65" i="8"/>
  <c r="M66" s="1"/>
  <c r="L93"/>
  <c r="L44" i="15" s="1"/>
  <c r="I83"/>
  <c r="L43" i="8"/>
  <c r="F87" i="15"/>
  <c r="F88" s="1"/>
  <c r="F86"/>
  <c r="I31"/>
  <c r="I24" s="1"/>
  <c r="I47" s="1"/>
  <c r="I48" s="1"/>
  <c r="J76"/>
  <c r="J74" s="1"/>
  <c r="J80"/>
  <c r="J81" s="1"/>
  <c r="J79" s="1"/>
  <c r="N62" i="8"/>
  <c r="N40"/>
  <c r="N42" s="1"/>
  <c r="F79" i="6"/>
  <c r="F80" s="1"/>
  <c r="G30" i="15"/>
  <c r="G79" i="6"/>
  <c r="G80" s="1"/>
  <c r="H30" i="15"/>
  <c r="H25" s="1"/>
  <c r="H24" s="1"/>
  <c r="H47" s="1"/>
  <c r="H48" s="1"/>
  <c r="J32"/>
  <c r="J31" s="1"/>
  <c r="J25"/>
  <c r="L85" i="7"/>
  <c r="M33" i="15" s="1"/>
  <c r="L52" i="8"/>
  <c r="L92"/>
  <c r="L43" i="15" s="1"/>
  <c r="O75" i="8"/>
  <c r="O94"/>
  <c r="O45" i="15" s="1"/>
  <c r="M33" i="8"/>
  <c r="M90"/>
  <c r="M21"/>
  <c r="M89"/>
  <c r="M40" i="15" s="1"/>
  <c r="K379" i="9"/>
  <c r="K79" i="7"/>
  <c r="J74" i="6"/>
  <c r="K26" i="15" s="1"/>
  <c r="P90" i="5"/>
  <c r="O68" i="7"/>
  <c r="L78"/>
  <c r="P103" i="5"/>
  <c r="O71" i="7"/>
  <c r="O58"/>
  <c r="P91" i="5"/>
  <c r="O69" i="7"/>
  <c r="N72"/>
  <c r="N77" s="1"/>
  <c r="P97" i="5"/>
  <c r="O70" i="7"/>
  <c r="O49"/>
  <c r="P89" i="5"/>
  <c r="O67" i="7"/>
  <c r="M76"/>
  <c r="M75"/>
  <c r="M73"/>
  <c r="P57" i="5"/>
  <c r="O83"/>
  <c r="N25" i="7"/>
  <c r="M77"/>
  <c r="O84" i="5"/>
  <c r="N35" i="7"/>
  <c r="M18"/>
  <c r="M19" s="1"/>
  <c r="O82" i="5"/>
  <c r="N15" i="7"/>
  <c r="K384" i="9"/>
  <c r="K40" i="1"/>
  <c r="K41" s="1"/>
  <c r="J75" i="6"/>
  <c r="K27" i="15" s="1"/>
  <c r="J27" i="6"/>
  <c r="Q195" i="2"/>
  <c r="P73" i="8"/>
  <c r="P74" s="1"/>
  <c r="P189" i="2"/>
  <c r="P186"/>
  <c r="I91" i="7"/>
  <c r="I92" s="1"/>
  <c r="K378" i="9"/>
  <c r="K377"/>
  <c r="K380"/>
  <c r="N20" i="8"/>
  <c r="K42" i="7"/>
  <c r="L343" i="9"/>
  <c r="M358"/>
  <c r="L328"/>
  <c r="K383"/>
  <c r="L29" i="7"/>
  <c r="L86"/>
  <c r="M34" i="15" s="1"/>
  <c r="L41" i="7"/>
  <c r="M49" i="8" s="1"/>
  <c r="M51" s="1"/>
  <c r="O180" i="2"/>
  <c r="M36" i="7"/>
  <c r="M38" s="1"/>
  <c r="N32" i="8"/>
  <c r="J88" i="7"/>
  <c r="K36" i="15" s="1"/>
  <c r="J51" i="7"/>
  <c r="K374" i="9"/>
  <c r="O179" i="2"/>
  <c r="M26" i="7"/>
  <c r="M28" s="1"/>
  <c r="P168" i="2"/>
  <c r="O29" i="8"/>
  <c r="J89" i="7"/>
  <c r="K37" i="15" s="1"/>
  <c r="J60" i="7"/>
  <c r="P160" i="2"/>
  <c r="O17" i="8"/>
  <c r="P170" i="2"/>
  <c r="O31" i="8"/>
  <c r="P178" i="2"/>
  <c r="N16" i="7"/>
  <c r="P162" i="2"/>
  <c r="O19" i="8"/>
  <c r="P169" i="2"/>
  <c r="O30" i="8"/>
  <c r="K48" i="7"/>
  <c r="K50" s="1"/>
  <c r="K57"/>
  <c r="K59" s="1"/>
  <c r="L39"/>
  <c r="L87"/>
  <c r="M35" i="15" s="1"/>
  <c r="P161" i="2"/>
  <c r="O18" i="8"/>
  <c r="I79" i="6"/>
  <c r="I80" s="1"/>
  <c r="J78"/>
  <c r="K30" i="15" s="1"/>
  <c r="J68" i="6"/>
  <c r="J76"/>
  <c r="K28" i="15" s="1"/>
  <c r="J37" i="6"/>
  <c r="I51" i="15"/>
  <c r="N30" i="1"/>
  <c r="M34"/>
  <c r="M36" s="1"/>
  <c r="H379" i="9"/>
  <c r="H385" s="1"/>
  <c r="H339"/>
  <c r="I364"/>
  <c r="I369" s="1"/>
  <c r="J156"/>
  <c r="I160"/>
  <c r="I161" s="1"/>
  <c r="AC181" s="1"/>
  <c r="L38" i="1"/>
  <c r="J140" i="9"/>
  <c r="I144"/>
  <c r="I145" s="1"/>
  <c r="AC180" s="1"/>
  <c r="I349"/>
  <c r="I354" s="1"/>
  <c r="I23" i="11"/>
  <c r="I61" s="1"/>
  <c r="J124" i="9"/>
  <c r="I128"/>
  <c r="I129" s="1"/>
  <c r="AC179" s="1"/>
  <c r="I172"/>
  <c r="I177" s="1"/>
  <c r="I178" s="1"/>
  <c r="AC182" s="1"/>
  <c r="I334"/>
  <c r="J55" i="11"/>
  <c r="J63" s="1"/>
  <c r="K376" i="9"/>
  <c r="I39" i="11"/>
  <c r="I62" s="1"/>
  <c r="M365" i="9"/>
  <c r="L347"/>
  <c r="L332"/>
  <c r="L351"/>
  <c r="L353"/>
  <c r="L334"/>
  <c r="L338"/>
  <c r="M366"/>
  <c r="M362"/>
  <c r="L349"/>
  <c r="L345"/>
  <c r="K258"/>
  <c r="J306"/>
  <c r="J291"/>
  <c r="E384"/>
  <c r="E385" s="1"/>
  <c r="E369"/>
  <c r="K321"/>
  <c r="L330"/>
  <c r="M364"/>
  <c r="K375"/>
  <c r="L333"/>
  <c r="M361"/>
  <c r="L344"/>
  <c r="L336"/>
  <c r="M360"/>
  <c r="L348"/>
  <c r="L335"/>
  <c r="L331"/>
  <c r="L329"/>
  <c r="M367"/>
  <c r="M363"/>
  <c r="M359"/>
  <c r="L350"/>
  <c r="L346"/>
  <c r="J228"/>
  <c r="K381"/>
  <c r="J198"/>
  <c r="S143"/>
  <c r="Q127"/>
  <c r="P175"/>
  <c r="T175"/>
  <c r="T127"/>
  <c r="R186"/>
  <c r="O126"/>
  <c r="N128"/>
  <c r="N129" s="1"/>
  <c r="AH179" s="1"/>
  <c r="N174"/>
  <c r="P144"/>
  <c r="P145" s="1"/>
  <c r="AJ180" s="1"/>
  <c r="O144"/>
  <c r="O145" s="1"/>
  <c r="AI180" s="1"/>
  <c r="M111" i="2"/>
  <c r="L209" i="9" s="1"/>
  <c r="L19" i="11" s="1"/>
  <c r="M110" i="2"/>
  <c r="L208" i="9" s="1"/>
  <c r="L18" i="11" s="1"/>
  <c r="M105" i="2"/>
  <c r="L203" i="9" s="1"/>
  <c r="M112" i="2"/>
  <c r="L210" i="9" s="1"/>
  <c r="L20" i="11" s="1"/>
  <c r="M106" i="2"/>
  <c r="L204" i="9" s="1"/>
  <c r="L14" i="11" s="1"/>
  <c r="M113" i="2"/>
  <c r="L211" i="9" s="1"/>
  <c r="M108" i="2"/>
  <c r="L206" i="9" s="1"/>
  <c r="M107" i="2"/>
  <c r="L205" i="9" s="1"/>
  <c r="M114" i="2"/>
  <c r="L212" i="9" s="1"/>
  <c r="L22" i="11" s="1"/>
  <c r="M109" i="2"/>
  <c r="L207" i="9" s="1"/>
  <c r="L17" i="11" s="1"/>
  <c r="M104" i="2"/>
  <c r="L202" i="9" s="1"/>
  <c r="M129" i="2"/>
  <c r="K242" i="9" s="1"/>
  <c r="M125" i="2"/>
  <c r="K238" i="9" s="1"/>
  <c r="M121" i="2"/>
  <c r="K234" i="9" s="1"/>
  <c r="M124" i="2"/>
  <c r="K237" i="9" s="1"/>
  <c r="M119" i="2"/>
  <c r="K232" i="9" s="1"/>
  <c r="M123" i="2"/>
  <c r="K236" i="9" s="1"/>
  <c r="M122" i="2"/>
  <c r="K235" i="9" s="1"/>
  <c r="M120" i="2"/>
  <c r="K233" i="9" s="1"/>
  <c r="M128" i="2"/>
  <c r="K241" i="9" s="1"/>
  <c r="M127" i="2"/>
  <c r="K240" i="9" s="1"/>
  <c r="M126" i="2"/>
  <c r="K239" i="9" s="1"/>
  <c r="N142" i="2"/>
  <c r="L270" i="9" s="1"/>
  <c r="N138" i="2"/>
  <c r="L266" i="9" s="1"/>
  <c r="N134" i="2"/>
  <c r="L262" i="9" s="1"/>
  <c r="N141" i="2"/>
  <c r="L269" i="9" s="1"/>
  <c r="L51" i="11" s="1"/>
  <c r="N135" i="2"/>
  <c r="L263" i="9" s="1"/>
  <c r="N137" i="2"/>
  <c r="L265" i="9" s="1"/>
  <c r="N136" i="2"/>
  <c r="L264" i="9" s="1"/>
  <c r="N144" i="2"/>
  <c r="L272" i="9" s="1"/>
  <c r="N143" i="2"/>
  <c r="L271" i="9" s="1"/>
  <c r="L53" i="11" s="1"/>
  <c r="N140" i="2"/>
  <c r="L268" i="9" s="1"/>
  <c r="L50" i="11" s="1"/>
  <c r="N139" i="2"/>
  <c r="L267" i="9" s="1"/>
  <c r="L49" i="11" s="1"/>
  <c r="M302" i="9"/>
  <c r="M303"/>
  <c r="N314"/>
  <c r="N315"/>
  <c r="N317"/>
  <c r="K36" i="6"/>
  <c r="M289" i="9"/>
  <c r="M283"/>
  <c r="M287"/>
  <c r="L35" i="6"/>
  <c r="L33"/>
  <c r="O34" i="2"/>
  <c r="N97"/>
  <c r="O45"/>
  <c r="N98"/>
  <c r="O27"/>
  <c r="P46"/>
  <c r="O99"/>
  <c r="M16" i="6"/>
  <c r="M14"/>
  <c r="N19" i="2"/>
  <c r="O12"/>
  <c r="R144" i="9"/>
  <c r="R145" s="1"/>
  <c r="AL180" s="1"/>
  <c r="T144"/>
  <c r="T145" s="1"/>
  <c r="AN180" s="1"/>
  <c r="R128"/>
  <c r="R129" s="1"/>
  <c r="AL179" s="1"/>
  <c r="S128"/>
  <c r="S129" s="1"/>
  <c r="AM179" s="1"/>
  <c r="O65" i="5"/>
  <c r="O44" i="2"/>
  <c r="O29" i="1"/>
  <c r="O33" s="1"/>
  <c r="N37"/>
  <c r="N46" s="1"/>
  <c r="O31"/>
  <c r="O35" s="1"/>
  <c r="N39"/>
  <c r="N48" s="1"/>
  <c r="O152" i="2" s="1"/>
  <c r="O53" i="1"/>
  <c r="P58"/>
  <c r="P59" s="1"/>
  <c r="Q11" i="15" s="1"/>
  <c r="Q13" s="1"/>
  <c r="Q15" s="1"/>
  <c r="G25" l="1"/>
  <c r="G24" s="1"/>
  <c r="N320" i="9"/>
  <c r="M299"/>
  <c r="M280"/>
  <c r="L187"/>
  <c r="M304"/>
  <c r="M295"/>
  <c r="N316"/>
  <c r="N310"/>
  <c r="M247"/>
  <c r="K36" i="11"/>
  <c r="K29"/>
  <c r="L213" i="9"/>
  <c r="L12" i="11"/>
  <c r="M305" i="9"/>
  <c r="L227"/>
  <c r="M297"/>
  <c r="L219"/>
  <c r="M301"/>
  <c r="L223"/>
  <c r="M300"/>
  <c r="L222"/>
  <c r="M298"/>
  <c r="L220"/>
  <c r="M296"/>
  <c r="L218"/>
  <c r="N319"/>
  <c r="M256"/>
  <c r="N311"/>
  <c r="M248"/>
  <c r="N312"/>
  <c r="M249"/>
  <c r="N313"/>
  <c r="M250"/>
  <c r="M288"/>
  <c r="L195"/>
  <c r="M285"/>
  <c r="L192"/>
  <c r="M290"/>
  <c r="L197"/>
  <c r="M282"/>
  <c r="L189"/>
  <c r="L273"/>
  <c r="L54" i="11"/>
  <c r="L21"/>
  <c r="L46"/>
  <c r="L44"/>
  <c r="K38"/>
  <c r="K34"/>
  <c r="L13"/>
  <c r="L47"/>
  <c r="L52"/>
  <c r="L15"/>
  <c r="L45"/>
  <c r="K243" i="9"/>
  <c r="N318"/>
  <c r="M255"/>
  <c r="M284"/>
  <c r="L191"/>
  <c r="M281"/>
  <c r="L188"/>
  <c r="M286"/>
  <c r="L193"/>
  <c r="K30" i="11"/>
  <c r="L16"/>
  <c r="K31"/>
  <c r="K35"/>
  <c r="L48"/>
  <c r="K33"/>
  <c r="K37"/>
  <c r="K32"/>
  <c r="K28"/>
  <c r="I64"/>
  <c r="J51" i="15" s="1"/>
  <c r="O68" i="2"/>
  <c r="O67"/>
  <c r="M218" i="9" s="1"/>
  <c r="O66" i="2"/>
  <c r="O70"/>
  <c r="M221" i="9" s="1"/>
  <c r="O74" i="2"/>
  <c r="O69"/>
  <c r="M220" i="9" s="1"/>
  <c r="O72" i="2"/>
  <c r="O71"/>
  <c r="O76"/>
  <c r="M227" i="9" s="1"/>
  <c r="O73" i="2"/>
  <c r="M224" i="9" s="1"/>
  <c r="O75" i="2"/>
  <c r="M226" i="9" s="1"/>
  <c r="P84" i="2"/>
  <c r="P81"/>
  <c r="N247" i="9" s="1"/>
  <c r="P85" i="2"/>
  <c r="N251" i="9" s="1"/>
  <c r="P89" i="2"/>
  <c r="P88"/>
  <c r="P83"/>
  <c r="N249" i="9" s="1"/>
  <c r="P87" i="2"/>
  <c r="N253" i="9" s="1"/>
  <c r="P86" i="2"/>
  <c r="N252" i="9" s="1"/>
  <c r="P82" i="2"/>
  <c r="P90"/>
  <c r="P91"/>
  <c r="N257" i="9" s="1"/>
  <c r="L39" i="15"/>
  <c r="O54" i="2"/>
  <c r="O58"/>
  <c r="O53"/>
  <c r="M189" i="9" s="1"/>
  <c r="O57" i="2"/>
  <c r="M193" i="9" s="1"/>
  <c r="O61" i="2"/>
  <c r="O52"/>
  <c r="M188" i="9" s="1"/>
  <c r="O56" i="2"/>
  <c r="M192" i="9" s="1"/>
  <c r="O60" i="2"/>
  <c r="O51"/>
  <c r="M187" i="9" s="1"/>
  <c r="O55" i="2"/>
  <c r="O59"/>
  <c r="H70" i="15"/>
  <c r="H69" s="1"/>
  <c r="G70"/>
  <c r="G69" s="1"/>
  <c r="P63" i="8"/>
  <c r="L96"/>
  <c r="L97" s="1"/>
  <c r="K74" i="6"/>
  <c r="L26" i="15" s="1"/>
  <c r="M41"/>
  <c r="L47" i="1"/>
  <c r="M151" i="2" s="1"/>
  <c r="L65" i="6" s="1"/>
  <c r="L67" s="1"/>
  <c r="L55"/>
  <c r="L57" s="1"/>
  <c r="L58" s="1"/>
  <c r="L46"/>
  <c r="L48" s="1"/>
  <c r="L49" s="1"/>
  <c r="O61" i="8"/>
  <c r="O150" i="2"/>
  <c r="N64" i="6" s="1"/>
  <c r="N47"/>
  <c r="N45"/>
  <c r="N56"/>
  <c r="N54"/>
  <c r="M43" i="8"/>
  <c r="N25" i="6"/>
  <c r="N66"/>
  <c r="K27"/>
  <c r="L34"/>
  <c r="L36" s="1"/>
  <c r="N23"/>
  <c r="Q18" i="15"/>
  <c r="Q19"/>
  <c r="P20"/>
  <c r="P22" s="1"/>
  <c r="M93" i="8"/>
  <c r="M44" i="15" s="1"/>
  <c r="N65" i="8"/>
  <c r="N66" s="1"/>
  <c r="J83" i="15"/>
  <c r="N91" i="8"/>
  <c r="N42" i="15" s="1"/>
  <c r="K76"/>
  <c r="K74" s="1"/>
  <c r="H53"/>
  <c r="K80"/>
  <c r="K81" s="1"/>
  <c r="K79" s="1"/>
  <c r="J24"/>
  <c r="J47" s="1"/>
  <c r="J48" s="1"/>
  <c r="O40" i="8"/>
  <c r="O62"/>
  <c r="K25" i="15"/>
  <c r="K32"/>
  <c r="K31" s="1"/>
  <c r="M52" i="8"/>
  <c r="M92"/>
  <c r="M43" i="15" s="1"/>
  <c r="I70"/>
  <c r="I69" s="1"/>
  <c r="I50"/>
  <c r="I53" s="1"/>
  <c r="N33" i="8"/>
  <c r="N90"/>
  <c r="P75"/>
  <c r="P94"/>
  <c r="P45" i="15" s="1"/>
  <c r="N21" i="8"/>
  <c r="N89"/>
  <c r="N40" i="15" s="1"/>
  <c r="K77" i="6"/>
  <c r="L29" i="15" s="1"/>
  <c r="N18" i="7"/>
  <c r="N85" s="1"/>
  <c r="O33" i="15" s="1"/>
  <c r="M85" i="7"/>
  <c r="N33" i="15" s="1"/>
  <c r="P83" i="5"/>
  <c r="O25" i="7"/>
  <c r="Q57" i="5"/>
  <c r="O72" i="7"/>
  <c r="O74" s="1"/>
  <c r="Q97" i="5"/>
  <c r="P49" i="7"/>
  <c r="P70"/>
  <c r="Q91" i="5"/>
  <c r="P69" i="7"/>
  <c r="N74"/>
  <c r="M78"/>
  <c r="Q89" i="5"/>
  <c r="P67" i="7"/>
  <c r="L90"/>
  <c r="M38" i="15" s="1"/>
  <c r="L79" i="7"/>
  <c r="N75"/>
  <c r="N76"/>
  <c r="N73"/>
  <c r="Q103" i="5"/>
  <c r="P71" i="7"/>
  <c r="P58"/>
  <c r="Q90" i="5"/>
  <c r="P68" i="7"/>
  <c r="P84" i="5"/>
  <c r="O35" i="7"/>
  <c r="P82" i="5"/>
  <c r="O15" i="7"/>
  <c r="L378" i="9"/>
  <c r="R195" i="2"/>
  <c r="Q73" i="8"/>
  <c r="Q74" s="1"/>
  <c r="Q189" i="2"/>
  <c r="Q186"/>
  <c r="J91" i="7"/>
  <c r="J92" s="1"/>
  <c r="L382" i="9"/>
  <c r="L42" i="7"/>
  <c r="L376" i="9"/>
  <c r="N358"/>
  <c r="J23" i="11"/>
  <c r="J61" s="1"/>
  <c r="Q169" i="2"/>
  <c r="P30" i="8"/>
  <c r="O20"/>
  <c r="O32"/>
  <c r="M29" i="7"/>
  <c r="M86"/>
  <c r="N34" i="15" s="1"/>
  <c r="M41" i="7"/>
  <c r="N49" i="8" s="1"/>
  <c r="N51" s="1"/>
  <c r="P180" i="2"/>
  <c r="N36" i="7"/>
  <c r="N38" s="1"/>
  <c r="M343" i="9"/>
  <c r="K89" i="7"/>
  <c r="L37" i="15" s="1"/>
  <c r="K60" i="7"/>
  <c r="Q178" i="2"/>
  <c r="O16" i="7"/>
  <c r="Q160" i="2"/>
  <c r="P17" i="8"/>
  <c r="Q168" i="2"/>
  <c r="P29" i="8"/>
  <c r="P179" i="2"/>
  <c r="N26" i="7"/>
  <c r="N28" s="1"/>
  <c r="L57"/>
  <c r="L59" s="1"/>
  <c r="L48"/>
  <c r="L50" s="1"/>
  <c r="L374" i="9"/>
  <c r="Q161" i="2"/>
  <c r="P18" i="8"/>
  <c r="K51" i="7"/>
  <c r="K88"/>
  <c r="M328" i="9"/>
  <c r="Q162" i="2"/>
  <c r="P19" i="8"/>
  <c r="Q170" i="2"/>
  <c r="P31" i="8"/>
  <c r="M39" i="7"/>
  <c r="M87"/>
  <c r="N35" i="15" s="1"/>
  <c r="J79" i="6"/>
  <c r="J80" s="1"/>
  <c r="M38" i="1"/>
  <c r="M34" i="6" s="1"/>
  <c r="K76"/>
  <c r="L28" i="15" s="1"/>
  <c r="K37" i="6"/>
  <c r="K125" i="9"/>
  <c r="J128"/>
  <c r="J129" s="1"/>
  <c r="AD179" s="1"/>
  <c r="J173"/>
  <c r="J177" s="1"/>
  <c r="J178" s="1"/>
  <c r="AD182" s="1"/>
  <c r="J335"/>
  <c r="I380"/>
  <c r="I385" s="1"/>
  <c r="I339"/>
  <c r="L24" i="6"/>
  <c r="L26" s="1"/>
  <c r="L40" i="1"/>
  <c r="L41" s="1"/>
  <c r="L15" i="6"/>
  <c r="L17" s="1"/>
  <c r="K157" i="9"/>
  <c r="J365"/>
  <c r="J369" s="1"/>
  <c r="J160"/>
  <c r="J161" s="1"/>
  <c r="AD181" s="1"/>
  <c r="K78" i="6"/>
  <c r="L30" i="15" s="1"/>
  <c r="K68" i="6"/>
  <c r="J144" i="9"/>
  <c r="J145" s="1"/>
  <c r="AD180" s="1"/>
  <c r="K141"/>
  <c r="J350"/>
  <c r="J354" s="1"/>
  <c r="O30" i="1"/>
  <c r="O32" s="1"/>
  <c r="N34"/>
  <c r="N36" s="1"/>
  <c r="N32"/>
  <c r="L377" i="9"/>
  <c r="L384"/>
  <c r="K291"/>
  <c r="L381"/>
  <c r="J39" i="11"/>
  <c r="J62" s="1"/>
  <c r="M347" i="9"/>
  <c r="M336"/>
  <c r="M329"/>
  <c r="N364"/>
  <c r="M351"/>
  <c r="M335"/>
  <c r="M331"/>
  <c r="M337"/>
  <c r="N367"/>
  <c r="N363"/>
  <c r="N359"/>
  <c r="M350"/>
  <c r="M346"/>
  <c r="L321"/>
  <c r="K198"/>
  <c r="K306"/>
  <c r="L379"/>
  <c r="M334"/>
  <c r="M330"/>
  <c r="N366"/>
  <c r="N362"/>
  <c r="M349"/>
  <c r="M345"/>
  <c r="K55" i="11"/>
  <c r="K63" s="1"/>
  <c r="L380" i="9"/>
  <c r="N361"/>
  <c r="M344"/>
  <c r="M333"/>
  <c r="N365"/>
  <c r="M352"/>
  <c r="M332"/>
  <c r="N360"/>
  <c r="M348"/>
  <c r="L258"/>
  <c r="L375"/>
  <c r="K228"/>
  <c r="S186"/>
  <c r="S144"/>
  <c r="S145" s="1"/>
  <c r="AM180" s="1"/>
  <c r="Q128"/>
  <c r="Q129" s="1"/>
  <c r="AK179" s="1"/>
  <c r="T128"/>
  <c r="T129" s="1"/>
  <c r="AN179" s="1"/>
  <c r="P127"/>
  <c r="O128"/>
  <c r="O129" s="1"/>
  <c r="AI179" s="1"/>
  <c r="O175"/>
  <c r="N114" i="2"/>
  <c r="M212" i="9" s="1"/>
  <c r="M22" i="11" s="1"/>
  <c r="N112" i="2"/>
  <c r="M210" i="9" s="1"/>
  <c r="N108" i="2"/>
  <c r="M206" i="9" s="1"/>
  <c r="M16" i="11" s="1"/>
  <c r="N111" i="2"/>
  <c r="M209" i="9" s="1"/>
  <c r="N106" i="2"/>
  <c r="M204" i="9" s="1"/>
  <c r="M14" i="11" s="1"/>
  <c r="N113" i="2"/>
  <c r="M211" i="9" s="1"/>
  <c r="M21" i="11" s="1"/>
  <c r="N107" i="2"/>
  <c r="M205" i="9" s="1"/>
  <c r="M15" i="11" s="1"/>
  <c r="N109" i="2"/>
  <c r="M207" i="9" s="1"/>
  <c r="M17" i="11" s="1"/>
  <c r="N104" i="2"/>
  <c r="M202" i="9" s="1"/>
  <c r="N110" i="2"/>
  <c r="M208" i="9" s="1"/>
  <c r="M18" i="11" s="1"/>
  <c r="N105" i="2"/>
  <c r="M203" i="9" s="1"/>
  <c r="M13" i="11" s="1"/>
  <c r="N126" i="2"/>
  <c r="L239" i="9" s="1"/>
  <c r="N122" i="2"/>
  <c r="L235" i="9" s="1"/>
  <c r="N125" i="2"/>
  <c r="L238" i="9" s="1"/>
  <c r="N120" i="2"/>
  <c r="L233" i="9" s="1"/>
  <c r="N124" i="2"/>
  <c r="L237" i="9" s="1"/>
  <c r="N123" i="2"/>
  <c r="L236" i="9" s="1"/>
  <c r="N121" i="2"/>
  <c r="L234" i="9" s="1"/>
  <c r="N129" i="2"/>
  <c r="L242" i="9" s="1"/>
  <c r="N128" i="2"/>
  <c r="L241" i="9" s="1"/>
  <c r="N127" i="2"/>
  <c r="L240" i="9" s="1"/>
  <c r="N119" i="2"/>
  <c r="L232" i="9" s="1"/>
  <c r="O143" i="2"/>
  <c r="M271" i="9" s="1"/>
  <c r="M53" i="11" s="1"/>
  <c r="O139" i="2"/>
  <c r="M267" i="9" s="1"/>
  <c r="M49" i="11" s="1"/>
  <c r="O135" i="2"/>
  <c r="M263" i="9" s="1"/>
  <c r="M45" i="11" s="1"/>
  <c r="O142" i="2"/>
  <c r="M270" i="9" s="1"/>
  <c r="M52" i="11" s="1"/>
  <c r="O140" i="2"/>
  <c r="M268" i="9" s="1"/>
  <c r="M50" i="11" s="1"/>
  <c r="O136" i="2"/>
  <c r="M264" i="9" s="1"/>
  <c r="M46" i="11" s="1"/>
  <c r="O144" i="2"/>
  <c r="M272" i="9" s="1"/>
  <c r="O141" i="2"/>
  <c r="M269" i="9" s="1"/>
  <c r="M51" i="11" s="1"/>
  <c r="O134" i="2"/>
  <c r="M262" i="9" s="1"/>
  <c r="O138" i="2"/>
  <c r="M266" i="9" s="1"/>
  <c r="M48" i="11" s="1"/>
  <c r="O137" i="2"/>
  <c r="M265" i="9" s="1"/>
  <c r="M47" i="11" s="1"/>
  <c r="O312" i="9"/>
  <c r="O314"/>
  <c r="N296"/>
  <c r="N298"/>
  <c r="O97" i="2"/>
  <c r="N280" i="9"/>
  <c r="N281"/>
  <c r="N285"/>
  <c r="N14" i="6"/>
  <c r="N16"/>
  <c r="P12" i="2"/>
  <c r="O19"/>
  <c r="M33" i="6"/>
  <c r="M35"/>
  <c r="P45" i="2"/>
  <c r="O98"/>
  <c r="Q46"/>
  <c r="P99"/>
  <c r="P27"/>
  <c r="P34"/>
  <c r="P65" i="5"/>
  <c r="P44" i="2"/>
  <c r="P29" i="1"/>
  <c r="P33" s="1"/>
  <c r="O37"/>
  <c r="O46" s="1"/>
  <c r="P31"/>
  <c r="P35" s="1"/>
  <c r="O39"/>
  <c r="O48" s="1"/>
  <c r="P152" i="2" s="1"/>
  <c r="Q58" i="1"/>
  <c r="Q59" s="1"/>
  <c r="R11" i="15" s="1"/>
  <c r="R13" s="1"/>
  <c r="R15" s="1"/>
  <c r="P53" i="1"/>
  <c r="N299" i="9" l="1"/>
  <c r="N282"/>
  <c r="N302"/>
  <c r="O320"/>
  <c r="O316"/>
  <c r="G47" i="15"/>
  <c r="N286" i="9"/>
  <c r="O315"/>
  <c r="N295"/>
  <c r="M217"/>
  <c r="N304"/>
  <c r="N305"/>
  <c r="O310"/>
  <c r="L37" i="11"/>
  <c r="L33"/>
  <c r="L35"/>
  <c r="N284" i="9"/>
  <c r="M191"/>
  <c r="N289"/>
  <c r="M196"/>
  <c r="N287"/>
  <c r="M194"/>
  <c r="O319"/>
  <c r="N256"/>
  <c r="O318"/>
  <c r="N255"/>
  <c r="N301"/>
  <c r="M223"/>
  <c r="N303"/>
  <c r="M225"/>
  <c r="N297"/>
  <c r="M219"/>
  <c r="M54" i="11"/>
  <c r="M19"/>
  <c r="L243" i="9"/>
  <c r="L30" i="11"/>
  <c r="L34"/>
  <c r="M273" i="9"/>
  <c r="M44" i="11"/>
  <c r="L36"/>
  <c r="L38"/>
  <c r="L32"/>
  <c r="L29"/>
  <c r="L31"/>
  <c r="M213" i="9"/>
  <c r="M12" i="11"/>
  <c r="N288" i="9"/>
  <c r="M195"/>
  <c r="N290"/>
  <c r="M197"/>
  <c r="N283"/>
  <c r="M190"/>
  <c r="O311"/>
  <c r="N248"/>
  <c r="O317"/>
  <c r="N254"/>
  <c r="O313"/>
  <c r="N250"/>
  <c r="N300"/>
  <c r="M222"/>
  <c r="M20" i="11"/>
  <c r="L28"/>
  <c r="J64"/>
  <c r="K51" i="15" s="1"/>
  <c r="P69" i="2"/>
  <c r="P67"/>
  <c r="N218" i="9" s="1"/>
  <c r="P71" i="2"/>
  <c r="P75"/>
  <c r="P73"/>
  <c r="P74"/>
  <c r="N225" i="9" s="1"/>
  <c r="P66" i="2"/>
  <c r="P68"/>
  <c r="P70"/>
  <c r="P72"/>
  <c r="N223" i="9" s="1"/>
  <c r="P76" i="2"/>
  <c r="Q82"/>
  <c r="O248" i="9" s="1"/>
  <c r="Q86" i="2"/>
  <c r="O252" i="9" s="1"/>
  <c r="Q90" i="2"/>
  <c r="O256" i="9" s="1"/>
  <c r="Q81" i="2"/>
  <c r="O247" i="9" s="1"/>
  <c r="Q85" i="2"/>
  <c r="Q89"/>
  <c r="Q84"/>
  <c r="O250" i="9" s="1"/>
  <c r="Q88" i="2"/>
  <c r="Q87"/>
  <c r="O253" i="9" s="1"/>
  <c r="Q83" i="2"/>
  <c r="Q91"/>
  <c r="O257" i="9" s="1"/>
  <c r="P51" i="2"/>
  <c r="N187" i="9" s="1"/>
  <c r="P55" i="2"/>
  <c r="P59"/>
  <c r="P54"/>
  <c r="N190" i="9" s="1"/>
  <c r="P58" i="2"/>
  <c r="P53"/>
  <c r="P57"/>
  <c r="P61"/>
  <c r="N197" i="9" s="1"/>
  <c r="P52" i="2"/>
  <c r="P56"/>
  <c r="P60"/>
  <c r="Q63" i="8"/>
  <c r="M39" i="15"/>
  <c r="M96" i="8"/>
  <c r="M97" s="1"/>
  <c r="N41" i="15"/>
  <c r="M47" i="1"/>
  <c r="N151" i="2" s="1"/>
  <c r="M65" i="6" s="1"/>
  <c r="M67" s="1"/>
  <c r="M55"/>
  <c r="M57" s="1"/>
  <c r="M58" s="1"/>
  <c r="M46"/>
  <c r="M48" s="1"/>
  <c r="M49" s="1"/>
  <c r="O56"/>
  <c r="O54"/>
  <c r="P61" i="8"/>
  <c r="P150" i="2"/>
  <c r="O64" i="6" s="1"/>
  <c r="O47"/>
  <c r="O45"/>
  <c r="O25"/>
  <c r="O66"/>
  <c r="O23"/>
  <c r="R18" i="15"/>
  <c r="R19"/>
  <c r="Q20"/>
  <c r="Q22" s="1"/>
  <c r="O77" i="7"/>
  <c r="N93" i="8"/>
  <c r="N44" i="15" s="1"/>
  <c r="K83"/>
  <c r="O42" i="8"/>
  <c r="O91" s="1"/>
  <c r="O42" i="15" s="1"/>
  <c r="O65" i="8"/>
  <c r="O66" s="1"/>
  <c r="N43"/>
  <c r="L80" i="15"/>
  <c r="L81" s="1"/>
  <c r="L79" s="1"/>
  <c r="L76"/>
  <c r="L74" s="1"/>
  <c r="P40" i="8"/>
  <c r="P62"/>
  <c r="L25" i="15"/>
  <c r="K24"/>
  <c r="K47" s="1"/>
  <c r="K48" s="1"/>
  <c r="K91" i="7"/>
  <c r="K92" s="1"/>
  <c r="L36" i="15"/>
  <c r="L32" s="1"/>
  <c r="L31" s="1"/>
  <c r="N52" i="8"/>
  <c r="N92"/>
  <c r="N43" i="15" s="1"/>
  <c r="J70"/>
  <c r="J69" s="1"/>
  <c r="J50"/>
  <c r="Q75" i="8"/>
  <c r="Q94"/>
  <c r="Q45" i="15" s="1"/>
  <c r="O33" i="8"/>
  <c r="O90"/>
  <c r="O21"/>
  <c r="O89"/>
  <c r="O40" i="15" s="1"/>
  <c r="N19" i="7"/>
  <c r="R90" i="5"/>
  <c r="Q68" i="7"/>
  <c r="R89" i="5"/>
  <c r="Q67" i="7"/>
  <c r="R91" i="5"/>
  <c r="Q69" i="7"/>
  <c r="O76"/>
  <c r="O75"/>
  <c r="O73"/>
  <c r="R57" i="5"/>
  <c r="N78" i="7"/>
  <c r="M79"/>
  <c r="M90"/>
  <c r="N38" i="15" s="1"/>
  <c r="Q83" i="5"/>
  <c r="P25" i="7"/>
  <c r="R103" i="5"/>
  <c r="Q71" i="7"/>
  <c r="Q58"/>
  <c r="P72"/>
  <c r="R97" i="5"/>
  <c r="Q70" i="7"/>
  <c r="Q49"/>
  <c r="O18"/>
  <c r="O19" s="1"/>
  <c r="Q84" i="5"/>
  <c r="P35" i="7"/>
  <c r="Q82" i="5"/>
  <c r="P15" i="7"/>
  <c r="S195" i="2"/>
  <c r="R73" i="8"/>
  <c r="R74" s="1"/>
  <c r="R189" i="2"/>
  <c r="R186"/>
  <c r="M375" i="9"/>
  <c r="P32" i="8"/>
  <c r="N328" i="9"/>
  <c r="M378"/>
  <c r="M374"/>
  <c r="Q179" i="2"/>
  <c r="O26" i="7"/>
  <c r="O28" s="1"/>
  <c r="P20" i="8"/>
  <c r="R170" i="2"/>
  <c r="Q31" i="8"/>
  <c r="L51" i="7"/>
  <c r="L88"/>
  <c r="M36" i="15" s="1"/>
  <c r="R160" i="2"/>
  <c r="Q17" i="8"/>
  <c r="M48" i="7"/>
  <c r="M50" s="1"/>
  <c r="M57"/>
  <c r="M59" s="1"/>
  <c r="R169" i="2"/>
  <c r="Q30" i="8"/>
  <c r="L89" i="7"/>
  <c r="M37" i="15" s="1"/>
  <c r="L60" i="7"/>
  <c r="R168" i="2"/>
  <c r="Q29" i="8"/>
  <c r="N39" i="7"/>
  <c r="N87"/>
  <c r="O35" i="15" s="1"/>
  <c r="O358" i="9"/>
  <c r="N343"/>
  <c r="R162" i="2"/>
  <c r="Q19" i="8"/>
  <c r="R161" i="2"/>
  <c r="Q18" i="8"/>
  <c r="N29" i="7"/>
  <c r="N86"/>
  <c r="O34" i="15" s="1"/>
  <c r="N41" i="7"/>
  <c r="O49" i="8" s="1"/>
  <c r="O51" s="1"/>
  <c r="R178" i="2"/>
  <c r="P16" i="7"/>
  <c r="Q180" i="2"/>
  <c r="O36" i="7"/>
  <c r="O38" s="1"/>
  <c r="M42"/>
  <c r="K79" i="6"/>
  <c r="K80" s="1"/>
  <c r="L77"/>
  <c r="M29" i="15" s="1"/>
  <c r="M24" i="6"/>
  <c r="M26" s="1"/>
  <c r="M15"/>
  <c r="M17" s="1"/>
  <c r="M74" s="1"/>
  <c r="N26" i="15" s="1"/>
  <c r="M40" i="1"/>
  <c r="M41" s="1"/>
  <c r="N38"/>
  <c r="L78" i="6"/>
  <c r="M30" i="15" s="1"/>
  <c r="L68" i="6"/>
  <c r="K144" i="9"/>
  <c r="K145" s="1"/>
  <c r="AE180" s="1"/>
  <c r="L142"/>
  <c r="K351"/>
  <c r="K354" s="1"/>
  <c r="L75" i="6"/>
  <c r="M27" i="15" s="1"/>
  <c r="L27" i="6"/>
  <c r="P30" i="1"/>
  <c r="P32" s="1"/>
  <c r="O34"/>
  <c r="O36" s="1"/>
  <c r="K366" i="9"/>
  <c r="K369" s="1"/>
  <c r="L158"/>
  <c r="K160"/>
  <c r="K161" s="1"/>
  <c r="AE181" s="1"/>
  <c r="L74" i="6"/>
  <c r="M26" i="15" s="1"/>
  <c r="L18" i="6"/>
  <c r="L76"/>
  <c r="M28" i="15" s="1"/>
  <c r="L37" i="6"/>
  <c r="J381" i="9"/>
  <c r="J385" s="1"/>
  <c r="J339"/>
  <c r="K128"/>
  <c r="K129" s="1"/>
  <c r="AE179" s="1"/>
  <c r="L126"/>
  <c r="K174"/>
  <c r="K177" s="1"/>
  <c r="K178" s="1"/>
  <c r="AE182" s="1"/>
  <c r="K336"/>
  <c r="L55" i="11"/>
  <c r="L63" s="1"/>
  <c r="K23"/>
  <c r="K61" s="1"/>
  <c r="M379" i="9"/>
  <c r="N335"/>
  <c r="N329"/>
  <c r="N344"/>
  <c r="N334"/>
  <c r="N350"/>
  <c r="O365"/>
  <c r="N333"/>
  <c r="N330"/>
  <c r="N349"/>
  <c r="N345"/>
  <c r="O364"/>
  <c r="O360"/>
  <c r="M377"/>
  <c r="L291"/>
  <c r="N351"/>
  <c r="O362"/>
  <c r="N338"/>
  <c r="N346"/>
  <c r="O361"/>
  <c r="N336"/>
  <c r="N332"/>
  <c r="N337"/>
  <c r="N352"/>
  <c r="N347"/>
  <c r="N353"/>
  <c r="O367"/>
  <c r="O363"/>
  <c r="O359"/>
  <c r="K39" i="11"/>
  <c r="K62" s="1"/>
  <c r="L228" i="9"/>
  <c r="M258"/>
  <c r="M383"/>
  <c r="M382"/>
  <c r="L306"/>
  <c r="M380"/>
  <c r="M321"/>
  <c r="N331"/>
  <c r="N348"/>
  <c r="O366"/>
  <c r="M376"/>
  <c r="M381"/>
  <c r="L198"/>
  <c r="T186"/>
  <c r="P128"/>
  <c r="P129" s="1"/>
  <c r="AJ179" s="1"/>
  <c r="P144" i="2"/>
  <c r="N272" i="9" s="1"/>
  <c r="N54" i="11" s="1"/>
  <c r="P140" i="2"/>
  <c r="N268" i="9" s="1"/>
  <c r="P136" i="2"/>
  <c r="N264" i="9" s="1"/>
  <c r="N46" i="11" s="1"/>
  <c r="P143" i="2"/>
  <c r="N271" i="9" s="1"/>
  <c r="P141" i="2"/>
  <c r="N269" i="9" s="1"/>
  <c r="P137" i="2"/>
  <c r="N265" i="9" s="1"/>
  <c r="N47" i="11" s="1"/>
  <c r="P135" i="2"/>
  <c r="N263" i="9" s="1"/>
  <c r="P134" i="2"/>
  <c r="N262" i="9" s="1"/>
  <c r="P139" i="2"/>
  <c r="N267" i="9" s="1"/>
  <c r="P138" i="2"/>
  <c r="N266" i="9" s="1"/>
  <c r="P142" i="2"/>
  <c r="N270" i="9" s="1"/>
  <c r="N52" i="11" s="1"/>
  <c r="O113" i="2"/>
  <c r="N211" i="9" s="1"/>
  <c r="O109" i="2"/>
  <c r="N207" i="9" s="1"/>
  <c r="N17" i="11" s="1"/>
  <c r="O112" i="2"/>
  <c r="N210" i="9" s="1"/>
  <c r="N20" i="11" s="1"/>
  <c r="O107" i="2"/>
  <c r="N205" i="9" s="1"/>
  <c r="O108" i="2"/>
  <c r="N206" i="9" s="1"/>
  <c r="O104" i="2"/>
  <c r="N202" i="9" s="1"/>
  <c r="O114" i="2"/>
  <c r="N212" i="9" s="1"/>
  <c r="N22" i="11" s="1"/>
  <c r="O110" i="2"/>
  <c r="N208" i="9" s="1"/>
  <c r="O105" i="2"/>
  <c r="N203" i="9" s="1"/>
  <c r="N13" i="11" s="1"/>
  <c r="O111" i="2"/>
  <c r="N209" i="9" s="1"/>
  <c r="O106" i="2"/>
  <c r="N204" i="9" s="1"/>
  <c r="N14" i="11" s="1"/>
  <c r="O127" i="2"/>
  <c r="M240" i="9" s="1"/>
  <c r="O123" i="2"/>
  <c r="M236" i="9" s="1"/>
  <c r="O119" i="2"/>
  <c r="M232" i="9" s="1"/>
  <c r="M28" i="11" s="1"/>
  <c r="O126" i="2"/>
  <c r="M239" i="9" s="1"/>
  <c r="O121" i="2"/>
  <c r="M234" i="9" s="1"/>
  <c r="O122" i="2"/>
  <c r="M235" i="9" s="1"/>
  <c r="O129" i="2"/>
  <c r="M242" i="9" s="1"/>
  <c r="O128" i="2"/>
  <c r="M241" i="9" s="1"/>
  <c r="O120" i="2"/>
  <c r="M233" i="9" s="1"/>
  <c r="O125" i="2"/>
  <c r="M238" i="9" s="1"/>
  <c r="O124" i="2"/>
  <c r="M237" i="9" s="1"/>
  <c r="P310"/>
  <c r="P315"/>
  <c r="O280"/>
  <c r="P97" i="2"/>
  <c r="R46"/>
  <c r="Q99"/>
  <c r="Q45"/>
  <c r="P98"/>
  <c r="M36" i="6"/>
  <c r="Q34" i="2"/>
  <c r="N35" i="6"/>
  <c r="N33"/>
  <c r="Q27" i="2"/>
  <c r="O16" i="6"/>
  <c r="O14"/>
  <c r="Q12" i="2"/>
  <c r="P19"/>
  <c r="Q65" i="5"/>
  <c r="Q44" i="2"/>
  <c r="Q29" i="1"/>
  <c r="Q33" s="1"/>
  <c r="P37"/>
  <c r="P46" s="1"/>
  <c r="Q31"/>
  <c r="Q35" s="1"/>
  <c r="P39"/>
  <c r="P48" s="1"/>
  <c r="Q152" i="2" s="1"/>
  <c r="Q53" i="1"/>
  <c r="R58"/>
  <c r="R59" s="1"/>
  <c r="S11" i="15" s="1"/>
  <c r="S13" s="1"/>
  <c r="S15" s="1"/>
  <c r="P313" i="9" l="1"/>
  <c r="O290"/>
  <c r="O296"/>
  <c r="G48" i="15"/>
  <c r="G53"/>
  <c r="G54" s="1"/>
  <c r="G55" s="1"/>
  <c r="G61" s="1"/>
  <c r="O283" i="9"/>
  <c r="O301"/>
  <c r="P320"/>
  <c r="O303"/>
  <c r="P319"/>
  <c r="P311"/>
  <c r="O295"/>
  <c r="N217"/>
  <c r="P316"/>
  <c r="M33" i="11"/>
  <c r="M38"/>
  <c r="M30"/>
  <c r="M36"/>
  <c r="M34"/>
  <c r="M37"/>
  <c r="M31"/>
  <c r="M35"/>
  <c r="M32"/>
  <c r="O285" i="9"/>
  <c r="N192"/>
  <c r="O282"/>
  <c r="N189"/>
  <c r="O284"/>
  <c r="N191"/>
  <c r="P314"/>
  <c r="O251"/>
  <c r="O297"/>
  <c r="N219"/>
  <c r="O304"/>
  <c r="N226"/>
  <c r="N273"/>
  <c r="N18" i="11"/>
  <c r="N16"/>
  <c r="N53"/>
  <c r="N48"/>
  <c r="N49"/>
  <c r="N21"/>
  <c r="N51"/>
  <c r="N44"/>
  <c r="M29"/>
  <c r="M243" i="9"/>
  <c r="O289"/>
  <c r="N196"/>
  <c r="O281"/>
  <c r="N188"/>
  <c r="O286"/>
  <c r="N193"/>
  <c r="O287"/>
  <c r="N194"/>
  <c r="O288"/>
  <c r="N195"/>
  <c r="P312"/>
  <c r="O249"/>
  <c r="P317"/>
  <c r="O254"/>
  <c r="P318"/>
  <c r="O255"/>
  <c r="O305"/>
  <c r="N227"/>
  <c r="O299"/>
  <c r="N221"/>
  <c r="O302"/>
  <c r="N224"/>
  <c r="O300"/>
  <c r="N222"/>
  <c r="O298"/>
  <c r="N220"/>
  <c r="N213"/>
  <c r="N12" i="11"/>
  <c r="N45"/>
  <c r="N15"/>
  <c r="N50"/>
  <c r="N19"/>
  <c r="K64"/>
  <c r="L51" i="15" s="1"/>
  <c r="Q52" i="2"/>
  <c r="O188" i="9" s="1"/>
  <c r="Q56" i="2"/>
  <c r="Q60"/>
  <c r="Q51"/>
  <c r="Q55"/>
  <c r="Q59"/>
  <c r="Q54"/>
  <c r="O190" i="9" s="1"/>
  <c r="Q58" i="2"/>
  <c r="Q53"/>
  <c r="O189" i="9" s="1"/>
  <c r="Q57" i="2"/>
  <c r="O193" i="9" s="1"/>
  <c r="Q61" i="2"/>
  <c r="Q66"/>
  <c r="Q70"/>
  <c r="O221" i="9" s="1"/>
  <c r="Q68" i="2"/>
  <c r="Q72"/>
  <c r="O223" i="9" s="1"/>
  <c r="Q76" i="2"/>
  <c r="O227" i="9" s="1"/>
  <c r="Q75" i="2"/>
  <c r="O226" i="9" s="1"/>
  <c r="Q69" i="2"/>
  <c r="Q73"/>
  <c r="O224" i="9" s="1"/>
  <c r="Q74" i="2"/>
  <c r="Q67"/>
  <c r="Q71"/>
  <c r="R90"/>
  <c r="P256" i="9" s="1"/>
  <c r="R83" i="2"/>
  <c r="P249" i="9" s="1"/>
  <c r="R87" i="2"/>
  <c r="P253" i="9" s="1"/>
  <c r="R91" i="2"/>
  <c r="R82"/>
  <c r="R86"/>
  <c r="R81"/>
  <c r="P247" i="9" s="1"/>
  <c r="R85" i="2"/>
  <c r="R89"/>
  <c r="P255" i="9" s="1"/>
  <c r="R84" i="2"/>
  <c r="R88"/>
  <c r="R63" i="8"/>
  <c r="N39" i="15"/>
  <c r="N96" i="8"/>
  <c r="N97" s="1"/>
  <c r="O41" i="15"/>
  <c r="N47" i="1"/>
  <c r="O151" i="2" s="1"/>
  <c r="N65" i="6" s="1"/>
  <c r="N67" s="1"/>
  <c r="N55"/>
  <c r="N57" s="1"/>
  <c r="N58" s="1"/>
  <c r="N46"/>
  <c r="N48" s="1"/>
  <c r="N49" s="1"/>
  <c r="Q61" i="8"/>
  <c r="Q150" i="2"/>
  <c r="P64" i="6" s="1"/>
  <c r="P56"/>
  <c r="P54"/>
  <c r="P47"/>
  <c r="P45"/>
  <c r="R20" i="15"/>
  <c r="R22" s="1"/>
  <c r="P25" i="6"/>
  <c r="P66"/>
  <c r="P23"/>
  <c r="S19" i="15"/>
  <c r="S18"/>
  <c r="O43" i="8"/>
  <c r="P42"/>
  <c r="P91" s="1"/>
  <c r="P42" i="15" s="1"/>
  <c r="O93" i="8"/>
  <c r="O44" i="15" s="1"/>
  <c r="P65" i="8"/>
  <c r="P66" s="1"/>
  <c r="L83" i="15"/>
  <c r="L24"/>
  <c r="L47" s="1"/>
  <c r="L48" s="1"/>
  <c r="M80"/>
  <c r="M81" s="1"/>
  <c r="M79" s="1"/>
  <c r="Q62" i="8"/>
  <c r="Q40"/>
  <c r="Q42" s="1"/>
  <c r="M76" i="15"/>
  <c r="M74" s="1"/>
  <c r="M25"/>
  <c r="J53"/>
  <c r="M32"/>
  <c r="M31" s="1"/>
  <c r="O52" i="8"/>
  <c r="O92"/>
  <c r="O43" i="15" s="1"/>
  <c r="K70"/>
  <c r="K69" s="1"/>
  <c r="K50"/>
  <c r="K53" s="1"/>
  <c r="P21" i="8"/>
  <c r="P89"/>
  <c r="P40" i="15" s="1"/>
  <c r="P33" i="8"/>
  <c r="P90"/>
  <c r="R75"/>
  <c r="R94"/>
  <c r="R45" i="15" s="1"/>
  <c r="N377" i="9"/>
  <c r="N42" i="7"/>
  <c r="N379" i="9"/>
  <c r="O78" i="7"/>
  <c r="O79" s="1"/>
  <c r="P18"/>
  <c r="P19" s="1"/>
  <c r="O85"/>
  <c r="P33" i="15" s="1"/>
  <c r="Q72" i="7"/>
  <c r="Q77" s="1"/>
  <c r="P75"/>
  <c r="P73"/>
  <c r="P76"/>
  <c r="R83" i="5"/>
  <c r="Q25" i="7"/>
  <c r="N79"/>
  <c r="N90"/>
  <c r="O38" i="15" s="1"/>
  <c r="S89" i="5"/>
  <c r="R67" i="7"/>
  <c r="P77"/>
  <c r="P74"/>
  <c r="S57" i="5"/>
  <c r="S97"/>
  <c r="R70" i="7"/>
  <c r="R49"/>
  <c r="S103" i="5"/>
  <c r="R71" i="7"/>
  <c r="R58"/>
  <c r="S91" i="5"/>
  <c r="R69" i="7"/>
  <c r="S90" i="5"/>
  <c r="R68" i="7"/>
  <c r="R84" i="5"/>
  <c r="Q35" i="7"/>
  <c r="R82" i="5"/>
  <c r="Q15" i="7"/>
  <c r="L23" i="11"/>
  <c r="L61" s="1"/>
  <c r="T195" i="2"/>
  <c r="S73" i="8"/>
  <c r="S74" s="1"/>
  <c r="S189" i="2"/>
  <c r="S186"/>
  <c r="L91" i="7"/>
  <c r="L92" s="1"/>
  <c r="Q32" i="8"/>
  <c r="N380" i="9"/>
  <c r="M55" i="11"/>
  <c r="M63" s="1"/>
  <c r="N376" i="9"/>
  <c r="O343"/>
  <c r="O328"/>
  <c r="N383"/>
  <c r="N57" i="7"/>
  <c r="N59" s="1"/>
  <c r="N48"/>
  <c r="N50" s="1"/>
  <c r="S161" i="2"/>
  <c r="R18" i="8"/>
  <c r="Q20"/>
  <c r="P358" i="9"/>
  <c r="S169" i="2"/>
  <c r="R30" i="8"/>
  <c r="S160" i="2"/>
  <c r="R17" i="8"/>
  <c r="S170" i="2"/>
  <c r="R31" i="8"/>
  <c r="O39" i="7"/>
  <c r="O87"/>
  <c r="P35" i="15" s="1"/>
  <c r="S178" i="2"/>
  <c r="Q16" i="7"/>
  <c r="S162" i="2"/>
  <c r="R19" i="8"/>
  <c r="S168" i="2"/>
  <c r="R29" i="8"/>
  <c r="M60" i="7"/>
  <c r="M89"/>
  <c r="N37" i="15" s="1"/>
  <c r="O41" i="7"/>
  <c r="P49" i="8" s="1"/>
  <c r="P51" s="1"/>
  <c r="O29" i="7"/>
  <c r="O86"/>
  <c r="P34" i="15" s="1"/>
  <c r="N378" i="9"/>
  <c r="R180" i="2"/>
  <c r="P36" i="7"/>
  <c r="P38" s="1"/>
  <c r="M51"/>
  <c r="M88"/>
  <c r="R179" i="2"/>
  <c r="P26" i="7"/>
  <c r="P28" s="1"/>
  <c r="N374" i="9"/>
  <c r="M18" i="6"/>
  <c r="N15"/>
  <c r="N17" s="1"/>
  <c r="N18" s="1"/>
  <c r="L79"/>
  <c r="L80" s="1"/>
  <c r="M27"/>
  <c r="M75"/>
  <c r="N27" i="15" s="1"/>
  <c r="N34" i="6"/>
  <c r="N36" s="1"/>
  <c r="M77"/>
  <c r="N29" i="15" s="1"/>
  <c r="N24" i="6"/>
  <c r="N26" s="1"/>
  <c r="N40" i="1"/>
  <c r="N41" s="1"/>
  <c r="M76" i="6"/>
  <c r="N28" i="15" s="1"/>
  <c r="M37" i="6"/>
  <c r="K339" i="9"/>
  <c r="K382"/>
  <c r="K385" s="1"/>
  <c r="O38" i="1"/>
  <c r="O34" i="6" s="1"/>
  <c r="M127" i="9"/>
  <c r="L128"/>
  <c r="L129" s="1"/>
  <c r="AF179" s="1"/>
  <c r="L175"/>
  <c r="L177" s="1"/>
  <c r="L178" s="1"/>
  <c r="AF182" s="1"/>
  <c r="L337"/>
  <c r="L367"/>
  <c r="L369" s="1"/>
  <c r="M159"/>
  <c r="L160"/>
  <c r="L161" s="1"/>
  <c r="AF181" s="1"/>
  <c r="Q30" i="1"/>
  <c r="Q32" s="1"/>
  <c r="P34"/>
  <c r="P36" s="1"/>
  <c r="M143" i="9"/>
  <c r="L144"/>
  <c r="L145" s="1"/>
  <c r="AF180" s="1"/>
  <c r="L352"/>
  <c r="L354" s="1"/>
  <c r="M78" i="6"/>
  <c r="N30" i="15" s="1"/>
  <c r="M68" i="6"/>
  <c r="N382" i="9"/>
  <c r="O335"/>
  <c r="O346"/>
  <c r="P361"/>
  <c r="O334"/>
  <c r="O333"/>
  <c r="O338"/>
  <c r="O352"/>
  <c r="O347"/>
  <c r="O353"/>
  <c r="P367"/>
  <c r="P363"/>
  <c r="P359"/>
  <c r="N375"/>
  <c r="N339"/>
  <c r="O337"/>
  <c r="O349"/>
  <c r="O336"/>
  <c r="O332"/>
  <c r="O329"/>
  <c r="O351"/>
  <c r="O348"/>
  <c r="O344"/>
  <c r="P366"/>
  <c r="P362"/>
  <c r="L39" i="11"/>
  <c r="L62" s="1"/>
  <c r="N354" i="9"/>
  <c r="M198"/>
  <c r="O331"/>
  <c r="N258"/>
  <c r="M228"/>
  <c r="M291"/>
  <c r="O350"/>
  <c r="P365"/>
  <c r="O330"/>
  <c r="O345"/>
  <c r="P364"/>
  <c r="P360"/>
  <c r="N321"/>
  <c r="M306"/>
  <c r="N381"/>
  <c r="P128" i="2"/>
  <c r="N241" i="9" s="1"/>
  <c r="P124" i="2"/>
  <c r="N237" i="9" s="1"/>
  <c r="P120" i="2"/>
  <c r="N233" i="9" s="1"/>
  <c r="P127" i="2"/>
  <c r="N240" i="9" s="1"/>
  <c r="P122" i="2"/>
  <c r="N235" i="9" s="1"/>
  <c r="P129" i="2"/>
  <c r="N242" i="9" s="1"/>
  <c r="P121" i="2"/>
  <c r="N234" i="9" s="1"/>
  <c r="P119" i="2"/>
  <c r="N232" i="9" s="1"/>
  <c r="P126" i="2"/>
  <c r="N239" i="9" s="1"/>
  <c r="P125" i="2"/>
  <c r="N238" i="9" s="1"/>
  <c r="P123" i="2"/>
  <c r="N236" i="9" s="1"/>
  <c r="P110" i="2"/>
  <c r="O208" i="9" s="1"/>
  <c r="P113" i="2"/>
  <c r="O211" i="9" s="1"/>
  <c r="O21" i="11" s="1"/>
  <c r="P108" i="2"/>
  <c r="O206" i="9" s="1"/>
  <c r="O16" i="11" s="1"/>
  <c r="P104" i="2"/>
  <c r="O202" i="9" s="1"/>
  <c r="O12" i="11" s="1"/>
  <c r="P114" i="2"/>
  <c r="O212" i="9" s="1"/>
  <c r="P109" i="2"/>
  <c r="O207" i="9" s="1"/>
  <c r="P105" i="2"/>
  <c r="O203" i="9" s="1"/>
  <c r="P111" i="2"/>
  <c r="O209" i="9" s="1"/>
  <c r="O19" i="11" s="1"/>
  <c r="P106" i="2"/>
  <c r="O204" i="9" s="1"/>
  <c r="P112" i="2"/>
  <c r="O210" i="9" s="1"/>
  <c r="O20" i="11" s="1"/>
  <c r="P107" i="2"/>
  <c r="O205" i="9" s="1"/>
  <c r="O15" i="11" s="1"/>
  <c r="Q141" i="2"/>
  <c r="O269" i="9" s="1"/>
  <c r="O51" i="11" s="1"/>
  <c r="Q137" i="2"/>
  <c r="O265" i="9" s="1"/>
  <c r="Q144" i="2"/>
  <c r="O272" i="9" s="1"/>
  <c r="Q140" i="2"/>
  <c r="O268" i="9" s="1"/>
  <c r="O50" i="11" s="1"/>
  <c r="Q142" i="2"/>
  <c r="O270" i="9" s="1"/>
  <c r="O52" i="11" s="1"/>
  <c r="Q138" i="2"/>
  <c r="O266" i="9" s="1"/>
  <c r="O48" i="11" s="1"/>
  <c r="Q143" i="2"/>
  <c r="O271" i="9" s="1"/>
  <c r="Q139" i="2"/>
  <c r="O267" i="9" s="1"/>
  <c r="Q136" i="2"/>
  <c r="O264" i="9" s="1"/>
  <c r="O46" i="11" s="1"/>
  <c r="Q135" i="2"/>
  <c r="O263" i="9" s="1"/>
  <c r="O45" i="11" s="1"/>
  <c r="Q134" i="2"/>
  <c r="O262" i="9" s="1"/>
  <c r="O44" i="11" s="1"/>
  <c r="Q318" i="9"/>
  <c r="Q97" i="2"/>
  <c r="P16" i="6"/>
  <c r="P14"/>
  <c r="Q19" i="2"/>
  <c r="R12"/>
  <c r="R45"/>
  <c r="Q98"/>
  <c r="R34"/>
  <c r="S46"/>
  <c r="R99"/>
  <c r="O33" i="6"/>
  <c r="O35"/>
  <c r="R27" i="2"/>
  <c r="R65" i="5"/>
  <c r="R44" i="2"/>
  <c r="R29" i="1"/>
  <c r="R33" s="1"/>
  <c r="Q37"/>
  <c r="Q46" s="1"/>
  <c r="R31"/>
  <c r="R35" s="1"/>
  <c r="Q39"/>
  <c r="Q48" s="1"/>
  <c r="R152" i="2" s="1"/>
  <c r="R53" i="1"/>
  <c r="P304" i="9" l="1"/>
  <c r="G60" i="15"/>
  <c r="G56"/>
  <c r="H54" s="1"/>
  <c r="H55" s="1"/>
  <c r="H59" s="1"/>
  <c r="G59"/>
  <c r="P283" i="9"/>
  <c r="Q319"/>
  <c r="P302"/>
  <c r="P301"/>
  <c r="P282"/>
  <c r="Q316"/>
  <c r="P295"/>
  <c r="O217"/>
  <c r="P280"/>
  <c r="O187"/>
  <c r="P281"/>
  <c r="P299"/>
  <c r="Q310"/>
  <c r="O53" i="11"/>
  <c r="O18"/>
  <c r="O47"/>
  <c r="N34"/>
  <c r="N243" i="9"/>
  <c r="N28" i="11"/>
  <c r="N38"/>
  <c r="N36"/>
  <c r="N33"/>
  <c r="Q313" i="9"/>
  <c r="P250"/>
  <c r="Q314"/>
  <c r="P251"/>
  <c r="Q315"/>
  <c r="P252"/>
  <c r="Q320"/>
  <c r="P257"/>
  <c r="P300"/>
  <c r="O222"/>
  <c r="P303"/>
  <c r="O225"/>
  <c r="P298"/>
  <c r="O220"/>
  <c r="P297"/>
  <c r="O219"/>
  <c r="P287"/>
  <c r="O194"/>
  <c r="P288"/>
  <c r="O195"/>
  <c r="P285"/>
  <c r="O192"/>
  <c r="N32" i="11"/>
  <c r="N35"/>
  <c r="N30"/>
  <c r="N31"/>
  <c r="N29"/>
  <c r="N37"/>
  <c r="Q317" i="9"/>
  <c r="P254"/>
  <c r="Q311"/>
  <c r="P248"/>
  <c r="P296"/>
  <c r="O218"/>
  <c r="P290"/>
  <c r="O197"/>
  <c r="P284"/>
  <c r="O191"/>
  <c r="P289"/>
  <c r="O196"/>
  <c r="O14" i="11"/>
  <c r="P286" i="9"/>
  <c r="P305"/>
  <c r="Q312"/>
  <c r="O273"/>
  <c r="O213"/>
  <c r="O13" i="11"/>
  <c r="O54"/>
  <c r="O22"/>
  <c r="O49"/>
  <c r="O17"/>
  <c r="L64"/>
  <c r="M51" i="15" s="1"/>
  <c r="S84" i="2"/>
  <c r="Q250" i="9" s="1"/>
  <c r="S88" i="2"/>
  <c r="S83"/>
  <c r="S87"/>
  <c r="Q253" i="9" s="1"/>
  <c r="S91" i="2"/>
  <c r="Q257" i="9" s="1"/>
  <c r="S82" i="2"/>
  <c r="Q248" i="9" s="1"/>
  <c r="S86" i="2"/>
  <c r="Q252" i="9" s="1"/>
  <c r="S85" i="2"/>
  <c r="Q251" i="9" s="1"/>
  <c r="S81" i="2"/>
  <c r="Q247" i="9" s="1"/>
  <c r="S89" i="2"/>
  <c r="Q255" i="9" s="1"/>
  <c r="S90" i="2"/>
  <c r="Q256" i="9" s="1"/>
  <c r="R53" i="2"/>
  <c r="P189" i="9" s="1"/>
  <c r="R57" i="2"/>
  <c r="P193" i="9" s="1"/>
  <c r="R61" i="2"/>
  <c r="R52"/>
  <c r="R56"/>
  <c r="P192" i="9" s="1"/>
  <c r="R60" i="2"/>
  <c r="P196" i="9" s="1"/>
  <c r="R51" i="2"/>
  <c r="P187" i="9" s="1"/>
  <c r="R55" i="2"/>
  <c r="R59"/>
  <c r="P195" i="9" s="1"/>
  <c r="R54" i="2"/>
  <c r="P190" i="9" s="1"/>
  <c r="R58" i="2"/>
  <c r="P194" i="9" s="1"/>
  <c r="R67" i="2"/>
  <c r="P218" i="9" s="1"/>
  <c r="R66" i="2"/>
  <c r="P217" i="9" s="1"/>
  <c r="R69" i="2"/>
  <c r="R73"/>
  <c r="P224" i="9" s="1"/>
  <c r="R76" i="2"/>
  <c r="P227" i="9" s="1"/>
  <c r="R68" i="2"/>
  <c r="P219" i="9" s="1"/>
  <c r="R70" i="2"/>
  <c r="R72"/>
  <c r="P223" i="9" s="1"/>
  <c r="R74" i="2"/>
  <c r="P225" i="9" s="1"/>
  <c r="R71" i="2"/>
  <c r="P222" i="9" s="1"/>
  <c r="R75" i="2"/>
  <c r="S63" i="8"/>
  <c r="R315" i="9"/>
  <c r="O39" i="15"/>
  <c r="O96" i="8"/>
  <c r="O97" s="1"/>
  <c r="P41" i="15"/>
  <c r="P38" i="1"/>
  <c r="P47" s="1"/>
  <c r="Q151" i="2" s="1"/>
  <c r="P65" i="6" s="1"/>
  <c r="O47" i="1"/>
  <c r="P151" i="2" s="1"/>
  <c r="O65" i="6" s="1"/>
  <c r="O67" s="1"/>
  <c r="O55"/>
  <c r="O57" s="1"/>
  <c r="O58" s="1"/>
  <c r="O46"/>
  <c r="O48" s="1"/>
  <c r="O49" s="1"/>
  <c r="Q56"/>
  <c r="Q54"/>
  <c r="Q47"/>
  <c r="Q45"/>
  <c r="R61" i="8"/>
  <c r="R150" i="2"/>
  <c r="Q64" i="6" s="1"/>
  <c r="P43" i="8"/>
  <c r="Q25" i="6"/>
  <c r="Q66"/>
  <c r="Q23"/>
  <c r="S20" i="15"/>
  <c r="S22" s="1"/>
  <c r="O90" i="7"/>
  <c r="P38" i="15" s="1"/>
  <c r="P93" i="8"/>
  <c r="P44" i="15" s="1"/>
  <c r="Q65" i="8"/>
  <c r="Q66" s="1"/>
  <c r="M83" i="15"/>
  <c r="Q91" i="8"/>
  <c r="Q42" i="15" s="1"/>
  <c r="R62" i="8"/>
  <c r="R40"/>
  <c r="N80" i="15"/>
  <c r="N81" s="1"/>
  <c r="N79" s="1"/>
  <c r="N76"/>
  <c r="N74" s="1"/>
  <c r="N25"/>
  <c r="M24"/>
  <c r="M47" s="1"/>
  <c r="M48" s="1"/>
  <c r="M91" i="7"/>
  <c r="M92" s="1"/>
  <c r="N36" i="15"/>
  <c r="N32" s="1"/>
  <c r="N31" s="1"/>
  <c r="P52" i="8"/>
  <c r="P92"/>
  <c r="P43" i="15" s="1"/>
  <c r="L50"/>
  <c r="L70"/>
  <c r="L69" s="1"/>
  <c r="Q21" i="8"/>
  <c r="Q89"/>
  <c r="Q40" i="15" s="1"/>
  <c r="Q33" i="8"/>
  <c r="Q90"/>
  <c r="S75"/>
  <c r="S94"/>
  <c r="S45" i="15" s="1"/>
  <c r="Q75" i="7"/>
  <c r="P85"/>
  <c r="Q33" i="15" s="1"/>
  <c r="Q76" i="7"/>
  <c r="Q18"/>
  <c r="Q19" s="1"/>
  <c r="Q74"/>
  <c r="Q73"/>
  <c r="R72"/>
  <c r="R74" s="1"/>
  <c r="T90" i="5"/>
  <c r="T68" i="7" s="1"/>
  <c r="S68"/>
  <c r="T97" i="5"/>
  <c r="S70" i="7"/>
  <c r="S49"/>
  <c r="T57" i="5"/>
  <c r="T89"/>
  <c r="T67" i="7" s="1"/>
  <c r="S67"/>
  <c r="S83" i="5"/>
  <c r="R25" i="7"/>
  <c r="T103" i="5"/>
  <c r="S71" i="7"/>
  <c r="S58"/>
  <c r="P78"/>
  <c r="T91" i="5"/>
  <c r="T69" i="7" s="1"/>
  <c r="S69"/>
  <c r="S84" i="5"/>
  <c r="R35" i="7"/>
  <c r="S82" i="5"/>
  <c r="R15" i="7"/>
  <c r="O374" i="9"/>
  <c r="U195" i="2"/>
  <c r="U73" i="8" s="1"/>
  <c r="U74" s="1"/>
  <c r="T73"/>
  <c r="T74" s="1"/>
  <c r="T189" i="2"/>
  <c r="T186"/>
  <c r="O383" i="9"/>
  <c r="O377"/>
  <c r="O381"/>
  <c r="R32" i="8"/>
  <c r="O42" i="7"/>
  <c r="N55" i="11"/>
  <c r="N63" s="1"/>
  <c r="N74" i="6"/>
  <c r="O26" i="15" s="1"/>
  <c r="R20" i="8"/>
  <c r="P343" i="9"/>
  <c r="P29" i="7"/>
  <c r="P86"/>
  <c r="Q34" i="15" s="1"/>
  <c r="P41" i="7"/>
  <c r="Q49" i="8" s="1"/>
  <c r="Q51" s="1"/>
  <c r="T162" i="2"/>
  <c r="S19" i="8"/>
  <c r="T160" i="2"/>
  <c r="S17" i="8"/>
  <c r="N89" i="7"/>
  <c r="O37" i="15" s="1"/>
  <c r="N60" i="7"/>
  <c r="P328" i="9"/>
  <c r="Q358"/>
  <c r="S179" i="2"/>
  <c r="Q26" i="7"/>
  <c r="Q28" s="1"/>
  <c r="P87"/>
  <c r="Q35" i="15" s="1"/>
  <c r="P39" i="7"/>
  <c r="S180" i="2"/>
  <c r="Q36" i="7"/>
  <c r="Q38" s="1"/>
  <c r="O48"/>
  <c r="O50" s="1"/>
  <c r="O57"/>
  <c r="O59" s="1"/>
  <c r="T168" i="2"/>
  <c r="S29" i="8"/>
  <c r="T178" i="2"/>
  <c r="R16" i="7"/>
  <c r="T170" i="2"/>
  <c r="S31" i="8"/>
  <c r="T169" i="2"/>
  <c r="S30" i="8"/>
  <c r="T161" i="2"/>
  <c r="S18" i="8"/>
  <c r="M39" i="11"/>
  <c r="M62" s="1"/>
  <c r="N51" i="7"/>
  <c r="N88"/>
  <c r="O36" i="15" s="1"/>
  <c r="N77" i="6"/>
  <c r="O29" i="15" s="1"/>
  <c r="M79" i="6"/>
  <c r="M80" s="1"/>
  <c r="N75"/>
  <c r="O27" i="15" s="1"/>
  <c r="N27" i="6"/>
  <c r="M368" i="9"/>
  <c r="M369" s="1"/>
  <c r="M160"/>
  <c r="M161" s="1"/>
  <c r="AG181" s="1"/>
  <c r="N159"/>
  <c r="N76" i="6"/>
  <c r="O28" i="15" s="1"/>
  <c r="N37" i="6"/>
  <c r="R30" i="1"/>
  <c r="Q34"/>
  <c r="Q36" s="1"/>
  <c r="L383" i="9"/>
  <c r="L385" s="1"/>
  <c r="L339"/>
  <c r="O24" i="6"/>
  <c r="O26" s="1"/>
  <c r="O15"/>
  <c r="O17" s="1"/>
  <c r="O40" i="1"/>
  <c r="O41" s="1"/>
  <c r="N78" i="6"/>
  <c r="O30" i="15" s="1"/>
  <c r="N68" i="6"/>
  <c r="M144" i="9"/>
  <c r="M145" s="1"/>
  <c r="AG180" s="1"/>
  <c r="M353"/>
  <c r="M354" s="1"/>
  <c r="M128"/>
  <c r="M129" s="1"/>
  <c r="AG179" s="1"/>
  <c r="M176"/>
  <c r="M177" s="1"/>
  <c r="M178" s="1"/>
  <c r="AG182" s="1"/>
  <c r="M338"/>
  <c r="O378"/>
  <c r="M23" i="11"/>
  <c r="M61" s="1"/>
  <c r="O382" i="9"/>
  <c r="P345"/>
  <c r="P333"/>
  <c r="P348"/>
  <c r="P336"/>
  <c r="P332"/>
  <c r="P351"/>
  <c r="P344"/>
  <c r="Q362"/>
  <c r="P335"/>
  <c r="P331"/>
  <c r="P329"/>
  <c r="P350"/>
  <c r="P346"/>
  <c r="Q365"/>
  <c r="Q361"/>
  <c r="O321"/>
  <c r="P338"/>
  <c r="Q360"/>
  <c r="N228"/>
  <c r="O375"/>
  <c r="O339"/>
  <c r="P334"/>
  <c r="Q364"/>
  <c r="P352"/>
  <c r="P353"/>
  <c r="Q367"/>
  <c r="Q363"/>
  <c r="Q359"/>
  <c r="O376"/>
  <c r="N306"/>
  <c r="N198"/>
  <c r="O380"/>
  <c r="P349"/>
  <c r="P330"/>
  <c r="P337"/>
  <c r="P347"/>
  <c r="Q366"/>
  <c r="N291"/>
  <c r="O258"/>
  <c r="O354"/>
  <c r="O379"/>
  <c r="R142" i="2"/>
  <c r="P270" i="9" s="1"/>
  <c r="R138" i="2"/>
  <c r="P266" i="9" s="1"/>
  <c r="R134" i="2"/>
  <c r="P262" i="9" s="1"/>
  <c r="R141" i="2"/>
  <c r="P269" i="9" s="1"/>
  <c r="P51" i="11" s="1"/>
  <c r="R143" i="2"/>
  <c r="P271" i="9" s="1"/>
  <c r="R139" i="2"/>
  <c r="P267" i="9" s="1"/>
  <c r="P49" i="11" s="1"/>
  <c r="R140" i="2"/>
  <c r="P268" i="9" s="1"/>
  <c r="R137" i="2"/>
  <c r="P265" i="9" s="1"/>
  <c r="P47" i="11" s="1"/>
  <c r="R136" i="2"/>
  <c r="P264" i="9" s="1"/>
  <c r="R135" i="2"/>
  <c r="P263" i="9" s="1"/>
  <c r="R144" i="2"/>
  <c r="P272" i="9" s="1"/>
  <c r="Q129" i="2"/>
  <c r="O242" i="9" s="1"/>
  <c r="Q125" i="2"/>
  <c r="O238" i="9" s="1"/>
  <c r="Q121" i="2"/>
  <c r="O234" i="9" s="1"/>
  <c r="Q128" i="2"/>
  <c r="O241" i="9" s="1"/>
  <c r="Q123" i="2"/>
  <c r="O236" i="9" s="1"/>
  <c r="Q120" i="2"/>
  <c r="O233" i="9" s="1"/>
  <c r="Q119" i="2"/>
  <c r="O232" i="9" s="1"/>
  <c r="O28" i="11" s="1"/>
  <c r="Q127" i="2"/>
  <c r="O240" i="9" s="1"/>
  <c r="Q126" i="2"/>
  <c r="O239" i="9" s="1"/>
  <c r="Q124" i="2"/>
  <c r="O237" i="9" s="1"/>
  <c r="Q122" i="2"/>
  <c r="O235" i="9" s="1"/>
  <c r="Q114" i="2"/>
  <c r="P212" i="9" s="1"/>
  <c r="P22" i="11" s="1"/>
  <c r="Q111" i="2"/>
  <c r="P209" i="9" s="1"/>
  <c r="P19" i="11" s="1"/>
  <c r="Q107" i="2"/>
  <c r="P205" i="9" s="1"/>
  <c r="Q109" i="2"/>
  <c r="P207" i="9" s="1"/>
  <c r="Q105" i="2"/>
  <c r="P203" i="9" s="1"/>
  <c r="P13" i="11" s="1"/>
  <c r="Q110" i="2"/>
  <c r="P208" i="9" s="1"/>
  <c r="P18" i="11" s="1"/>
  <c r="Q106" i="2"/>
  <c r="P204" i="9" s="1"/>
  <c r="P14" i="11" s="1"/>
  <c r="Q112" i="2"/>
  <c r="P210" i="9" s="1"/>
  <c r="P20" i="11" s="1"/>
  <c r="Q113" i="2"/>
  <c r="P211" i="9" s="1"/>
  <c r="P21" i="11" s="1"/>
  <c r="Q108" i="2"/>
  <c r="P206" i="9" s="1"/>
  <c r="P16" i="11" s="1"/>
  <c r="Q104" i="2"/>
  <c r="P202" i="9" s="1"/>
  <c r="R310"/>
  <c r="R314"/>
  <c r="R316"/>
  <c r="R320"/>
  <c r="Q295"/>
  <c r="Q300"/>
  <c r="R97" i="2"/>
  <c r="Q282" i="9"/>
  <c r="Q285"/>
  <c r="Q288"/>
  <c r="T46" i="2"/>
  <c r="S99"/>
  <c r="S45"/>
  <c r="R98"/>
  <c r="O36" i="6"/>
  <c r="S34" i="2"/>
  <c r="S27"/>
  <c r="Q16" i="6"/>
  <c r="Q14"/>
  <c r="R19" i="2"/>
  <c r="S12"/>
  <c r="P34" i="6"/>
  <c r="P35"/>
  <c r="P33"/>
  <c r="S65" i="5"/>
  <c r="S44" i="2"/>
  <c r="S29" i="1"/>
  <c r="R37"/>
  <c r="R46" s="1"/>
  <c r="S31"/>
  <c r="R39"/>
  <c r="R48" s="1"/>
  <c r="S152" i="2" s="1"/>
  <c r="S58" i="1"/>
  <c r="S59" s="1"/>
  <c r="T11" i="15" s="1"/>
  <c r="T13" s="1"/>
  <c r="T15" s="1"/>
  <c r="S53" i="1"/>
  <c r="Q280" i="9" l="1"/>
  <c r="P24" i="6"/>
  <c r="P26" s="1"/>
  <c r="P27" s="1"/>
  <c r="Q287" i="9"/>
  <c r="Q302"/>
  <c r="R311"/>
  <c r="Q301"/>
  <c r="R318"/>
  <c r="H56" i="15"/>
  <c r="I54" s="1"/>
  <c r="I55" s="1"/>
  <c r="I61" s="1"/>
  <c r="G58"/>
  <c r="G63" s="1"/>
  <c r="G67" s="1"/>
  <c r="G72" s="1"/>
  <c r="G85" s="1"/>
  <c r="G87" s="1"/>
  <c r="G88" s="1"/>
  <c r="H60"/>
  <c r="H61"/>
  <c r="P15" i="6"/>
  <c r="P17" s="1"/>
  <c r="P18" s="1"/>
  <c r="Q303" i="9"/>
  <c r="Q296"/>
  <c r="P40" i="1"/>
  <c r="P41" s="1"/>
  <c r="Q297" i="9"/>
  <c r="O33" i="11"/>
  <c r="O36"/>
  <c r="O37"/>
  <c r="P273" i="9"/>
  <c r="P44" i="11"/>
  <c r="Q304" i="9"/>
  <c r="P226"/>
  <c r="Q298"/>
  <c r="P220"/>
  <c r="Q284"/>
  <c r="P191"/>
  <c r="Q281"/>
  <c r="P188"/>
  <c r="R312"/>
  <c r="Q249"/>
  <c r="O31" i="11"/>
  <c r="O35"/>
  <c r="O243" i="9"/>
  <c r="O32" i="11"/>
  <c r="O30"/>
  <c r="O38"/>
  <c r="P45"/>
  <c r="Q290" i="9"/>
  <c r="P197"/>
  <c r="R317"/>
  <c r="Q254"/>
  <c r="P50" i="11"/>
  <c r="Q286" i="9"/>
  <c r="Q283"/>
  <c r="Q289"/>
  <c r="Q305"/>
  <c r="R319"/>
  <c r="R313"/>
  <c r="P48" i="11"/>
  <c r="P15"/>
  <c r="P52"/>
  <c r="P53"/>
  <c r="P46"/>
  <c r="P17"/>
  <c r="P213" i="9"/>
  <c r="P12" i="11"/>
  <c r="O29"/>
  <c r="O34"/>
  <c r="P54"/>
  <c r="Q299" i="9"/>
  <c r="P221"/>
  <c r="P55" i="6"/>
  <c r="P57" s="1"/>
  <c r="P58" s="1"/>
  <c r="P46"/>
  <c r="P48" s="1"/>
  <c r="P49" s="1"/>
  <c r="M64" i="11"/>
  <c r="N51" i="15" s="1"/>
  <c r="N70" s="1"/>
  <c r="N69" s="1"/>
  <c r="S54" i="2"/>
  <c r="S58"/>
  <c r="Q194" i="9" s="1"/>
  <c r="S53" i="2"/>
  <c r="S57"/>
  <c r="Q193" i="9" s="1"/>
  <c r="S61" i="2"/>
  <c r="Q197" i="9" s="1"/>
  <c r="S52" i="2"/>
  <c r="Q188" i="9" s="1"/>
  <c r="S56" i="2"/>
  <c r="S60"/>
  <c r="Q196" i="9" s="1"/>
  <c r="S51" i="2"/>
  <c r="Q187" i="9" s="1"/>
  <c r="S55" i="2"/>
  <c r="Q191" i="9" s="1"/>
  <c r="S59" i="2"/>
  <c r="S68"/>
  <c r="Q219" i="9" s="1"/>
  <c r="S67" i="2"/>
  <c r="Q218" i="9" s="1"/>
  <c r="S66" i="2"/>
  <c r="S70"/>
  <c r="S74"/>
  <c r="Q225" i="9" s="1"/>
  <c r="S69" i="2"/>
  <c r="S73"/>
  <c r="Q224" i="9" s="1"/>
  <c r="S75" i="2"/>
  <c r="S72"/>
  <c r="Q223" i="9" s="1"/>
  <c r="S71" i="2"/>
  <c r="S76"/>
  <c r="Q227" i="9" s="1"/>
  <c r="T87" i="2"/>
  <c r="T81"/>
  <c r="R247" i="9" s="1"/>
  <c r="T85" i="2"/>
  <c r="T89"/>
  <c r="T84"/>
  <c r="T88"/>
  <c r="R254" i="9" s="1"/>
  <c r="T83" i="2"/>
  <c r="R249" i="9" s="1"/>
  <c r="T90" i="2"/>
  <c r="T91"/>
  <c r="T86"/>
  <c r="R252" i="9" s="1"/>
  <c r="T82" i="2"/>
  <c r="R248" i="9" s="1"/>
  <c r="T63" i="8"/>
  <c r="P39" i="15"/>
  <c r="P96" i="8"/>
  <c r="P97" s="1"/>
  <c r="P75" i="6"/>
  <c r="Q27" i="15" s="1"/>
  <c r="Q41"/>
  <c r="S61" i="8"/>
  <c r="S150" i="2"/>
  <c r="R64" i="6" s="1"/>
  <c r="R47"/>
  <c r="R45"/>
  <c r="R56"/>
  <c r="R54"/>
  <c r="R25"/>
  <c r="R66"/>
  <c r="Q38" i="1"/>
  <c r="Q34" i="6" s="1"/>
  <c r="R23"/>
  <c r="T19" i="15"/>
  <c r="T18"/>
  <c r="R42" i="8"/>
  <c r="R91" s="1"/>
  <c r="R42" i="15" s="1"/>
  <c r="Q43" i="8"/>
  <c r="Q93"/>
  <c r="Q44" i="15" s="1"/>
  <c r="R65" i="8"/>
  <c r="R66" s="1"/>
  <c r="R18" i="7"/>
  <c r="R85" s="1"/>
  <c r="S33" i="15" s="1"/>
  <c r="Q85" i="7"/>
  <c r="R33" i="15" s="1"/>
  <c r="R77" i="7"/>
  <c r="O80" i="15"/>
  <c r="O81" s="1"/>
  <c r="O79" s="1"/>
  <c r="O76"/>
  <c r="O74" s="1"/>
  <c r="O32"/>
  <c r="O31" s="1"/>
  <c r="N83"/>
  <c r="N24"/>
  <c r="N47" s="1"/>
  <c r="N48" s="1"/>
  <c r="S40" i="8"/>
  <c r="S42" s="1"/>
  <c r="S62"/>
  <c r="O25" i="15"/>
  <c r="L53"/>
  <c r="Q52" i="8"/>
  <c r="Q92"/>
  <c r="Q43" i="15" s="1"/>
  <c r="M70"/>
  <c r="M69" s="1"/>
  <c r="M50"/>
  <c r="R21" i="8"/>
  <c r="R89"/>
  <c r="R40" i="15" s="1"/>
  <c r="U75" i="8"/>
  <c r="U94"/>
  <c r="U45" i="15" s="1"/>
  <c r="R33" i="8"/>
  <c r="R90"/>
  <c r="T75"/>
  <c r="T94"/>
  <c r="T45" i="15" s="1"/>
  <c r="Q78" i="7"/>
  <c r="S72"/>
  <c r="S74" s="1"/>
  <c r="T71"/>
  <c r="T58"/>
  <c r="T49"/>
  <c r="T70"/>
  <c r="P90"/>
  <c r="Q38" i="15" s="1"/>
  <c r="P79" i="7"/>
  <c r="T83" i="5"/>
  <c r="T25" i="7" s="1"/>
  <c r="S25"/>
  <c r="R73"/>
  <c r="R76"/>
  <c r="R75"/>
  <c r="T84" i="5"/>
  <c r="T35" i="7" s="1"/>
  <c r="S35"/>
  <c r="T82" i="5"/>
  <c r="T15" i="7" s="1"/>
  <c r="S15"/>
  <c r="U189" i="2"/>
  <c r="U186"/>
  <c r="N91" i="7"/>
  <c r="N92" s="1"/>
  <c r="N23" i="11"/>
  <c r="N61" s="1"/>
  <c r="N39"/>
  <c r="N62" s="1"/>
  <c r="P374" i="9"/>
  <c r="P382"/>
  <c r="P383"/>
  <c r="P378"/>
  <c r="U161" i="2"/>
  <c r="U18" i="8" s="1"/>
  <c r="T18"/>
  <c r="U170" i="2"/>
  <c r="U31" i="8" s="1"/>
  <c r="T31"/>
  <c r="U168" i="2"/>
  <c r="U29" i="8" s="1"/>
  <c r="T29"/>
  <c r="T180" i="2"/>
  <c r="R36" i="7"/>
  <c r="R38" s="1"/>
  <c r="Q86"/>
  <c r="R34" i="15" s="1"/>
  <c r="Q41" i="7"/>
  <c r="R49" i="8" s="1"/>
  <c r="R51" s="1"/>
  <c r="Q29" i="7"/>
  <c r="U162" i="2"/>
  <c r="U19" i="8" s="1"/>
  <c r="T19"/>
  <c r="Q343" i="9"/>
  <c r="R358"/>
  <c r="O89" i="7"/>
  <c r="P37" i="15" s="1"/>
  <c r="O60" i="7"/>
  <c r="T179" i="2"/>
  <c r="R26" i="7"/>
  <c r="R28" s="1"/>
  <c r="S20" i="8"/>
  <c r="P57" i="7"/>
  <c r="P59" s="1"/>
  <c r="P48"/>
  <c r="P50" s="1"/>
  <c r="U169" i="2"/>
  <c r="U30" i="8" s="1"/>
  <c r="T30"/>
  <c r="U178" i="2"/>
  <c r="T16" i="7" s="1"/>
  <c r="S16"/>
  <c r="O88"/>
  <c r="P36" i="15" s="1"/>
  <c r="O51" i="7"/>
  <c r="U160" i="2"/>
  <c r="U17" i="8" s="1"/>
  <c r="T17"/>
  <c r="Q328" i="9"/>
  <c r="S32" i="8"/>
  <c r="Q87" i="7"/>
  <c r="R35" i="15" s="1"/>
  <c r="Q39" i="7"/>
  <c r="P42"/>
  <c r="O77" i="6"/>
  <c r="P29" i="15" s="1"/>
  <c r="N79" i="6"/>
  <c r="N80" s="1"/>
  <c r="S35" i="1"/>
  <c r="S39" s="1"/>
  <c r="S48" s="1"/>
  <c r="T152" i="2" s="1"/>
  <c r="T31" i="1"/>
  <c r="O76" i="6"/>
  <c r="P28" i="15" s="1"/>
  <c r="O37" i="6"/>
  <c r="O75"/>
  <c r="P27" i="15" s="1"/>
  <c r="O27" i="6"/>
  <c r="S33" i="1"/>
  <c r="S37" s="1"/>
  <c r="S46" s="1"/>
  <c r="T29"/>
  <c r="T33" s="1"/>
  <c r="S30"/>
  <c r="S32" s="1"/>
  <c r="R34"/>
  <c r="R36" s="1"/>
  <c r="R32"/>
  <c r="O78" i="6"/>
  <c r="P30" i="15" s="1"/>
  <c r="O68" i="6"/>
  <c r="P74"/>
  <c r="Q26" i="15" s="1"/>
  <c r="O74" i="6"/>
  <c r="P26" i="15" s="1"/>
  <c r="O18" i="6"/>
  <c r="M384" i="9"/>
  <c r="M385" s="1"/>
  <c r="M339"/>
  <c r="N368"/>
  <c r="O159"/>
  <c r="N176"/>
  <c r="N177" s="1"/>
  <c r="N178" s="1"/>
  <c r="AH182" s="1"/>
  <c r="N160"/>
  <c r="N161" s="1"/>
  <c r="AH181" s="1"/>
  <c r="P376"/>
  <c r="O55" i="11"/>
  <c r="O63" s="1"/>
  <c r="P379" i="9"/>
  <c r="Q335"/>
  <c r="Q333"/>
  <c r="Q338"/>
  <c r="Q350"/>
  <c r="R365"/>
  <c r="P321"/>
  <c r="P380"/>
  <c r="P375"/>
  <c r="P339"/>
  <c r="Q329"/>
  <c r="Q347"/>
  <c r="R367"/>
  <c r="R359"/>
  <c r="Q346"/>
  <c r="R361"/>
  <c r="Q336"/>
  <c r="Q332"/>
  <c r="Q337"/>
  <c r="Q349"/>
  <c r="Q345"/>
  <c r="R364"/>
  <c r="R360"/>
  <c r="P381"/>
  <c r="O198"/>
  <c r="O228"/>
  <c r="Q353"/>
  <c r="O291"/>
  <c r="O306"/>
  <c r="Q331"/>
  <c r="Q352"/>
  <c r="R363"/>
  <c r="Q334"/>
  <c r="Q330"/>
  <c r="Q351"/>
  <c r="Q348"/>
  <c r="Q344"/>
  <c r="R366"/>
  <c r="R362"/>
  <c r="P258"/>
  <c r="P354"/>
  <c r="P377"/>
  <c r="R126" i="2"/>
  <c r="P239" i="9" s="1"/>
  <c r="P35" i="11" s="1"/>
  <c r="R122" i="2"/>
  <c r="P235" i="9" s="1"/>
  <c r="P31" i="11" s="1"/>
  <c r="R129" i="2"/>
  <c r="P242" i="9" s="1"/>
  <c r="R124" i="2"/>
  <c r="P237" i="9" s="1"/>
  <c r="P33" i="11" s="1"/>
  <c r="R119" i="2"/>
  <c r="P232" i="9" s="1"/>
  <c r="R128" i="2"/>
  <c r="P241" i="9" s="1"/>
  <c r="P37" i="11" s="1"/>
  <c r="R127" i="2"/>
  <c r="P240" i="9" s="1"/>
  <c r="R125" i="2"/>
  <c r="P238" i="9" s="1"/>
  <c r="P34" i="11" s="1"/>
  <c r="R123" i="2"/>
  <c r="P236" i="9" s="1"/>
  <c r="R121" i="2"/>
  <c r="P234" i="9" s="1"/>
  <c r="R120" i="2"/>
  <c r="P233" i="9" s="1"/>
  <c r="P29" i="11" s="1"/>
  <c r="R114" i="2"/>
  <c r="Q212" i="9" s="1"/>
  <c r="Q22" i="11" s="1"/>
  <c r="R112" i="2"/>
  <c r="Q210" i="9" s="1"/>
  <c r="R108" i="2"/>
  <c r="Q206" i="9" s="1"/>
  <c r="R110" i="2"/>
  <c r="Q208" i="9" s="1"/>
  <c r="R106" i="2"/>
  <c r="Q204" i="9" s="1"/>
  <c r="Q14" i="11" s="1"/>
  <c r="R111" i="2"/>
  <c r="Q209" i="9" s="1"/>
  <c r="R113" i="2"/>
  <c r="Q211" i="9" s="1"/>
  <c r="R107" i="2"/>
  <c r="Q205" i="9" s="1"/>
  <c r="R104" i="2"/>
  <c r="Q202" i="9" s="1"/>
  <c r="R109" i="2"/>
  <c r="Q207" i="9" s="1"/>
  <c r="R105" i="2"/>
  <c r="Q203" i="9" s="1"/>
  <c r="S143" i="2"/>
  <c r="Q271" i="9" s="1"/>
  <c r="Q53" i="11" s="1"/>
  <c r="S139" i="2"/>
  <c r="Q267" i="9" s="1"/>
  <c r="S135" i="2"/>
  <c r="Q263" i="9" s="1"/>
  <c r="S142" i="2"/>
  <c r="Q270" i="9" s="1"/>
  <c r="Q52" i="11" s="1"/>
  <c r="S144" i="2"/>
  <c r="Q272" i="9" s="1"/>
  <c r="Q54" i="11" s="1"/>
  <c r="S134" i="2"/>
  <c r="Q262" i="9" s="1"/>
  <c r="S141" i="2"/>
  <c r="Q269" i="9" s="1"/>
  <c r="S140" i="2"/>
  <c r="Q268" i="9" s="1"/>
  <c r="S138" i="2"/>
  <c r="Q266" i="9" s="1"/>
  <c r="S137" i="2"/>
  <c r="Q265" i="9" s="1"/>
  <c r="S136" i="2"/>
  <c r="Q264" i="9" s="1"/>
  <c r="R305"/>
  <c r="R302"/>
  <c r="R290"/>
  <c r="R281"/>
  <c r="R284"/>
  <c r="R287"/>
  <c r="S97" i="2"/>
  <c r="P36" i="6"/>
  <c r="Q33"/>
  <c r="Q35"/>
  <c r="T45" i="2"/>
  <c r="S98"/>
  <c r="T34"/>
  <c r="U46"/>
  <c r="T99"/>
  <c r="R14" i="6"/>
  <c r="R16"/>
  <c r="T12" i="2"/>
  <c r="S19"/>
  <c r="T27"/>
  <c r="P67" i="6"/>
  <c r="T65" i="5"/>
  <c r="T44" i="2"/>
  <c r="T53" i="1"/>
  <c r="T58"/>
  <c r="T59" s="1"/>
  <c r="U11" i="15" s="1"/>
  <c r="U13" s="1"/>
  <c r="U15" s="1"/>
  <c r="R280" i="9" l="1"/>
  <c r="R296"/>
  <c r="S312"/>
  <c r="S311"/>
  <c r="P77" i="6"/>
  <c r="Q29" i="15" s="1"/>
  <c r="H58"/>
  <c r="H63" s="1"/>
  <c r="H67" s="1"/>
  <c r="H72" s="1"/>
  <c r="H85" s="1"/>
  <c r="H87" s="1"/>
  <c r="H88" s="1"/>
  <c r="I59"/>
  <c r="I56"/>
  <c r="J54" s="1"/>
  <c r="J55" s="1"/>
  <c r="J61" s="1"/>
  <c r="I60"/>
  <c r="G86"/>
  <c r="H86" s="1"/>
  <c r="S315" i="9"/>
  <c r="R303"/>
  <c r="R286"/>
  <c r="R301"/>
  <c r="S317"/>
  <c r="S310"/>
  <c r="R297"/>
  <c r="Q213"/>
  <c r="R289"/>
  <c r="R295"/>
  <c r="Q217"/>
  <c r="Q47" i="11"/>
  <c r="Q51"/>
  <c r="Q19"/>
  <c r="Q18"/>
  <c r="Q20"/>
  <c r="P32"/>
  <c r="P243" i="9"/>
  <c r="P28" i="11"/>
  <c r="P38"/>
  <c r="S319" i="9"/>
  <c r="R256"/>
  <c r="S318"/>
  <c r="R255"/>
  <c r="Q273"/>
  <c r="P36" i="11"/>
  <c r="Q50"/>
  <c r="Q13"/>
  <c r="Q46"/>
  <c r="Q21"/>
  <c r="Q45"/>
  <c r="P30"/>
  <c r="Q12"/>
  <c r="Q15"/>
  <c r="Q49"/>
  <c r="S320" i="9"/>
  <c r="R257"/>
  <c r="S313"/>
  <c r="R250"/>
  <c r="S314"/>
  <c r="R251"/>
  <c r="S316"/>
  <c r="R253"/>
  <c r="R300"/>
  <c r="Q222"/>
  <c r="R304"/>
  <c r="Q226"/>
  <c r="R298"/>
  <c r="Q220"/>
  <c r="R299"/>
  <c r="Q221"/>
  <c r="R288"/>
  <c r="Q195"/>
  <c r="R285"/>
  <c r="Q192"/>
  <c r="R282"/>
  <c r="Q189"/>
  <c r="R283"/>
  <c r="Q190"/>
  <c r="Q44" i="11"/>
  <c r="Q16"/>
  <c r="Q17"/>
  <c r="Q48"/>
  <c r="N64"/>
  <c r="O51" i="15" s="1"/>
  <c r="T69" i="2"/>
  <c r="T67"/>
  <c r="R218" i="9" s="1"/>
  <c r="T71" i="2"/>
  <c r="R222" i="9" s="1"/>
  <c r="T75" i="2"/>
  <c r="R226" i="9" s="1"/>
  <c r="T66" i="2"/>
  <c r="T76"/>
  <c r="R227" i="9" s="1"/>
  <c r="T68" i="2"/>
  <c r="R219" i="9" s="1"/>
  <c r="T70" i="2"/>
  <c r="R221" i="9" s="1"/>
  <c r="T73" i="2"/>
  <c r="T74"/>
  <c r="R225" i="9" s="1"/>
  <c r="T72" i="2"/>
  <c r="R223" i="9" s="1"/>
  <c r="U82" i="2"/>
  <c r="S248" i="9" s="1"/>
  <c r="U86" i="2"/>
  <c r="S252" i="9" s="1"/>
  <c r="U90" i="2"/>
  <c r="S256" i="9" s="1"/>
  <c r="U81" i="2"/>
  <c r="S247" i="9" s="1"/>
  <c r="U85" i="2"/>
  <c r="S251" i="9" s="1"/>
  <c r="U89" i="2"/>
  <c r="S255" i="9" s="1"/>
  <c r="U84" i="2"/>
  <c r="S250" i="9" s="1"/>
  <c r="U88" i="2"/>
  <c r="S254" i="9" s="1"/>
  <c r="U83" i="2"/>
  <c r="S249" i="9" s="1"/>
  <c r="U91" i="2"/>
  <c r="S257" i="9" s="1"/>
  <c r="U87" i="2"/>
  <c r="S253" i="9" s="1"/>
  <c r="T51" i="2"/>
  <c r="R187" i="9" s="1"/>
  <c r="T55" i="2"/>
  <c r="R191" i="9" s="1"/>
  <c r="T59" i="2"/>
  <c r="T54"/>
  <c r="T58"/>
  <c r="R194" i="9" s="1"/>
  <c r="T53" i="2"/>
  <c r="T57"/>
  <c r="R193" i="9" s="1"/>
  <c r="T61" i="2"/>
  <c r="R197" i="9" s="1"/>
  <c r="T52" i="2"/>
  <c r="R188" i="9" s="1"/>
  <c r="T56" i="2"/>
  <c r="T60"/>
  <c r="R196" i="9" s="1"/>
  <c r="N50" i="15"/>
  <c r="N53" s="1"/>
  <c r="U63" i="8"/>
  <c r="Q39" i="15"/>
  <c r="Q96" i="8"/>
  <c r="Q97" s="1"/>
  <c r="R41" i="15"/>
  <c r="P32"/>
  <c r="P31" s="1"/>
  <c r="Q47" i="1"/>
  <c r="R151" i="2" s="1"/>
  <c r="Q65" i="6" s="1"/>
  <c r="Q67" s="1"/>
  <c r="Q46"/>
  <c r="Q48" s="1"/>
  <c r="Q49" s="1"/>
  <c r="Q55"/>
  <c r="Q57" s="1"/>
  <c r="Q58" s="1"/>
  <c r="Q40" i="1"/>
  <c r="Q41" s="1"/>
  <c r="Q15" i="6"/>
  <c r="Q17" s="1"/>
  <c r="Q18" s="1"/>
  <c r="T61" i="8"/>
  <c r="T150" i="2"/>
  <c r="S64" i="6" s="1"/>
  <c r="S47"/>
  <c r="S45"/>
  <c r="S56"/>
  <c r="S54"/>
  <c r="S25"/>
  <c r="S66"/>
  <c r="Q24"/>
  <c r="Q26" s="1"/>
  <c r="T20" i="15"/>
  <c r="T22" s="1"/>
  <c r="U18"/>
  <c r="U19"/>
  <c r="R19" i="7"/>
  <c r="R43" i="8"/>
  <c r="R93"/>
  <c r="R44" i="15" s="1"/>
  <c r="S65" i="8"/>
  <c r="S66" s="1"/>
  <c r="O24" i="15"/>
  <c r="O47" s="1"/>
  <c r="O48" s="1"/>
  <c r="S91" i="8"/>
  <c r="S42" i="15" s="1"/>
  <c r="P76"/>
  <c r="P74" s="1"/>
  <c r="O83"/>
  <c r="T40" i="8"/>
  <c r="T42" s="1"/>
  <c r="T62"/>
  <c r="P80" i="15"/>
  <c r="P81" s="1"/>
  <c r="P79" s="1"/>
  <c r="P25"/>
  <c r="M53"/>
  <c r="R52" i="8"/>
  <c r="R92"/>
  <c r="R43" i="15" s="1"/>
  <c r="S33" i="8"/>
  <c r="S90"/>
  <c r="S21"/>
  <c r="S89"/>
  <c r="S40" i="15" s="1"/>
  <c r="T72" i="7"/>
  <c r="T77" s="1"/>
  <c r="S75"/>
  <c r="R78"/>
  <c r="R79" s="1"/>
  <c r="Q79"/>
  <c r="Q90"/>
  <c r="R38" i="15" s="1"/>
  <c r="S77" i="7"/>
  <c r="S73"/>
  <c r="S76"/>
  <c r="S18"/>
  <c r="S85" s="1"/>
  <c r="T33" i="15" s="1"/>
  <c r="T18" i="7"/>
  <c r="T19" s="1"/>
  <c r="R38" i="1"/>
  <c r="R15" i="6" s="1"/>
  <c r="R17" s="1"/>
  <c r="Q379" i="9"/>
  <c r="O91" i="7"/>
  <c r="O92" s="1"/>
  <c r="P55" i="11"/>
  <c r="P63" s="1"/>
  <c r="T20" i="8"/>
  <c r="O23" i="11"/>
  <c r="O61" s="1"/>
  <c r="Q376" i="9"/>
  <c r="Q42" i="7"/>
  <c r="P88"/>
  <c r="Q36" i="15" s="1"/>
  <c r="P51" i="7"/>
  <c r="R29"/>
  <c r="R86"/>
  <c r="S34" i="15" s="1"/>
  <c r="R41" i="7"/>
  <c r="S49" i="8" s="1"/>
  <c r="S51" s="1"/>
  <c r="Q48" i="7"/>
  <c r="Q50" s="1"/>
  <c r="Q57"/>
  <c r="Q59" s="1"/>
  <c r="T32" i="8"/>
  <c r="R343" i="9"/>
  <c r="Q377"/>
  <c r="Q374"/>
  <c r="U20" i="8"/>
  <c r="P89" i="7"/>
  <c r="Q37" i="15" s="1"/>
  <c r="P60" i="7"/>
  <c r="U179" i="2"/>
  <c r="T26" i="7" s="1"/>
  <c r="T28" s="1"/>
  <c r="S26"/>
  <c r="S28" s="1"/>
  <c r="U32" i="8"/>
  <c r="R328" i="9"/>
  <c r="S358"/>
  <c r="R39" i="7"/>
  <c r="R87"/>
  <c r="S35" i="15" s="1"/>
  <c r="U180" i="2"/>
  <c r="T36" i="7" s="1"/>
  <c r="T38" s="1"/>
  <c r="S36"/>
  <c r="S38" s="1"/>
  <c r="O79" i="6"/>
  <c r="O80" s="1"/>
  <c r="P76"/>
  <c r="Q28" i="15" s="1"/>
  <c r="P37" i="6"/>
  <c r="P78"/>
  <c r="Q30" i="15" s="1"/>
  <c r="P68" i="6"/>
  <c r="P159" i="9"/>
  <c r="O160"/>
  <c r="O161" s="1"/>
  <c r="AI181" s="1"/>
  <c r="O368"/>
  <c r="O176"/>
  <c r="O177" s="1"/>
  <c r="O178" s="1"/>
  <c r="AI182" s="1"/>
  <c r="T35" i="1"/>
  <c r="T39" s="1"/>
  <c r="T48" s="1"/>
  <c r="U152" i="2" s="1"/>
  <c r="N369" i="9"/>
  <c r="N384"/>
  <c r="N385" s="1"/>
  <c r="S34" i="1"/>
  <c r="S36" s="1"/>
  <c r="T30"/>
  <c r="T32" s="1"/>
  <c r="S23" i="6"/>
  <c r="O39" i="11"/>
  <c r="O62" s="1"/>
  <c r="Q380" i="9"/>
  <c r="Q378"/>
  <c r="P306"/>
  <c r="R335"/>
  <c r="S366"/>
  <c r="R334"/>
  <c r="R330"/>
  <c r="S361"/>
  <c r="R352"/>
  <c r="R344"/>
  <c r="R333"/>
  <c r="R329"/>
  <c r="S364"/>
  <c r="S360"/>
  <c r="R351"/>
  <c r="R348"/>
  <c r="R353"/>
  <c r="Q354"/>
  <c r="Q375"/>
  <c r="Q321"/>
  <c r="P198"/>
  <c r="R338"/>
  <c r="R345"/>
  <c r="R336"/>
  <c r="R332"/>
  <c r="R337"/>
  <c r="S367"/>
  <c r="S363"/>
  <c r="S359"/>
  <c r="R350"/>
  <c r="R346"/>
  <c r="P228"/>
  <c r="Q382"/>
  <c r="P291"/>
  <c r="Q339"/>
  <c r="S362"/>
  <c r="R331"/>
  <c r="R349"/>
  <c r="S365"/>
  <c r="R347"/>
  <c r="Q383"/>
  <c r="Q258"/>
  <c r="Q381"/>
  <c r="T144" i="2"/>
  <c r="R272" i="9" s="1"/>
  <c r="R54" i="11" s="1"/>
  <c r="T140" i="2"/>
  <c r="R268" i="9" s="1"/>
  <c r="R50" i="11" s="1"/>
  <c r="T136" i="2"/>
  <c r="R264" i="9" s="1"/>
  <c r="T143" i="2"/>
  <c r="R271" i="9" s="1"/>
  <c r="T135" i="2"/>
  <c r="R263" i="9" s="1"/>
  <c r="R45" i="11" s="1"/>
  <c r="T139" i="2"/>
  <c r="R267" i="9" s="1"/>
  <c r="R49" i="11" s="1"/>
  <c r="T138" i="2"/>
  <c r="R266" i="9" s="1"/>
  <c r="T137" i="2"/>
  <c r="R265" i="9" s="1"/>
  <c r="T142" i="2"/>
  <c r="R270" i="9" s="1"/>
  <c r="R52" i="11" s="1"/>
  <c r="T134" i="2"/>
  <c r="R262" i="9" s="1"/>
  <c r="T141" i="2"/>
  <c r="R269" i="9" s="1"/>
  <c r="S127" i="2"/>
  <c r="Q240" i="9" s="1"/>
  <c r="S123" i="2"/>
  <c r="Q236" i="9" s="1"/>
  <c r="S119" i="2"/>
  <c r="Q232" i="9" s="1"/>
  <c r="S125" i="2"/>
  <c r="Q238" i="9" s="1"/>
  <c r="Q34" i="11" s="1"/>
  <c r="S120" i="2"/>
  <c r="Q233" i="9" s="1"/>
  <c r="S126" i="2"/>
  <c r="Q239" i="9" s="1"/>
  <c r="S124" i="2"/>
  <c r="Q237" i="9" s="1"/>
  <c r="Q33" i="11" s="1"/>
  <c r="S122" i="2"/>
  <c r="Q235" i="9" s="1"/>
  <c r="S121" i="2"/>
  <c r="Q234" i="9" s="1"/>
  <c r="Q30" i="11" s="1"/>
  <c r="S129" i="2"/>
  <c r="Q242" i="9" s="1"/>
  <c r="Q38" i="11" s="1"/>
  <c r="S128" i="2"/>
  <c r="Q241" i="9" s="1"/>
  <c r="S113" i="2"/>
  <c r="R211" i="9" s="1"/>
  <c r="R21" i="11" s="1"/>
  <c r="S109" i="2"/>
  <c r="R207" i="9" s="1"/>
  <c r="S114" i="2"/>
  <c r="R212" i="9" s="1"/>
  <c r="S111" i="2"/>
  <c r="R209" i="9" s="1"/>
  <c r="R19" i="11" s="1"/>
  <c r="S112" i="2"/>
  <c r="R210" i="9" s="1"/>
  <c r="S107" i="2"/>
  <c r="R205" i="9" s="1"/>
  <c r="R15" i="11" s="1"/>
  <c r="S104" i="2"/>
  <c r="R202" i="9" s="1"/>
  <c r="R12" i="11" s="1"/>
  <c r="S108" i="2"/>
  <c r="R206" i="9" s="1"/>
  <c r="R16" i="11" s="1"/>
  <c r="S105" i="2"/>
  <c r="R203" i="9" s="1"/>
  <c r="R13" i="11" s="1"/>
  <c r="S110" i="2"/>
  <c r="R208" i="9" s="1"/>
  <c r="S106" i="2"/>
  <c r="R204" i="9" s="1"/>
  <c r="U99" i="2"/>
  <c r="S301" i="9"/>
  <c r="S304"/>
  <c r="S284"/>
  <c r="U27" i="2"/>
  <c r="R35" i="6"/>
  <c r="R33"/>
  <c r="R34"/>
  <c r="U34" i="2"/>
  <c r="T97"/>
  <c r="S14" i="6"/>
  <c r="S16"/>
  <c r="T19" i="2"/>
  <c r="U12"/>
  <c r="Q36" i="6"/>
  <c r="U45" i="2"/>
  <c r="T98"/>
  <c r="T37" i="1"/>
  <c r="T46" s="1"/>
  <c r="U44" i="2"/>
  <c r="S286" i="9" l="1"/>
  <c r="S299"/>
  <c r="T76" i="7"/>
  <c r="S289" i="9"/>
  <c r="S296"/>
  <c r="S303"/>
  <c r="S305"/>
  <c r="S290"/>
  <c r="J60" i="15"/>
  <c r="J59"/>
  <c r="G89"/>
  <c r="I58"/>
  <c r="I63" s="1"/>
  <c r="I67" s="1"/>
  <c r="I72" s="1"/>
  <c r="I85" s="1"/>
  <c r="I87" s="1"/>
  <c r="I88" s="1"/>
  <c r="J56"/>
  <c r="K54" s="1"/>
  <c r="K55" s="1"/>
  <c r="K60" s="1"/>
  <c r="S287" i="9"/>
  <c r="S281"/>
  <c r="S297"/>
  <c r="S280"/>
  <c r="S300"/>
  <c r="R273"/>
  <c r="S295"/>
  <c r="R217"/>
  <c r="S288"/>
  <c r="R195"/>
  <c r="S302"/>
  <c r="R224"/>
  <c r="S298"/>
  <c r="R220"/>
  <c r="Q243"/>
  <c r="Q37" i="11"/>
  <c r="R14"/>
  <c r="R53"/>
  <c r="Q35"/>
  <c r="R51"/>
  <c r="R22"/>
  <c r="Q29"/>
  <c r="Q32"/>
  <c r="R20"/>
  <c r="R48"/>
  <c r="R47"/>
  <c r="Q36"/>
  <c r="R17"/>
  <c r="R46"/>
  <c r="S285" i="9"/>
  <c r="R192"/>
  <c r="S282"/>
  <c r="R189"/>
  <c r="S283"/>
  <c r="R190"/>
  <c r="R213"/>
  <c r="Q31" i="11"/>
  <c r="Q28"/>
  <c r="R44"/>
  <c r="R18"/>
  <c r="H89" i="15"/>
  <c r="O64" i="11"/>
  <c r="P51" i="15" s="1"/>
  <c r="Q74" i="6"/>
  <c r="R26" i="15" s="1"/>
  <c r="U52" i="2"/>
  <c r="S188" i="9" s="1"/>
  <c r="U56" i="2"/>
  <c r="S192" i="9" s="1"/>
  <c r="U60" i="2"/>
  <c r="S196" i="9" s="1"/>
  <c r="U51" i="2"/>
  <c r="S187" i="9" s="1"/>
  <c r="U55" i="2"/>
  <c r="S191" i="9" s="1"/>
  <c r="U59" i="2"/>
  <c r="S195" i="9" s="1"/>
  <c r="U54" i="2"/>
  <c r="S190" i="9" s="1"/>
  <c r="U58" i="2"/>
  <c r="S194" i="9" s="1"/>
  <c r="U53" i="2"/>
  <c r="S189" i="9" s="1"/>
  <c r="U57" i="2"/>
  <c r="S193" i="9" s="1"/>
  <c r="U61" i="2"/>
  <c r="S197" i="9" s="1"/>
  <c r="U66" i="2"/>
  <c r="S217" i="9" s="1"/>
  <c r="U70" i="2"/>
  <c r="S221" i="9" s="1"/>
  <c r="U68" i="2"/>
  <c r="S219" i="9" s="1"/>
  <c r="U72" i="2"/>
  <c r="S223" i="9" s="1"/>
  <c r="U76" i="2"/>
  <c r="S227" i="9" s="1"/>
  <c r="U71" i="2"/>
  <c r="S222" i="9" s="1"/>
  <c r="U67" i="2"/>
  <c r="S218" i="9" s="1"/>
  <c r="U69" i="2"/>
  <c r="S220" i="9" s="1"/>
  <c r="U75" i="2"/>
  <c r="S226" i="9" s="1"/>
  <c r="U73" i="2"/>
  <c r="S224" i="9" s="1"/>
  <c r="U74" i="2"/>
  <c r="S225" i="9" s="1"/>
  <c r="R39" i="15"/>
  <c r="R96" i="8"/>
  <c r="R97" s="1"/>
  <c r="Q77" i="6"/>
  <c r="R29" i="15" s="1"/>
  <c r="S41"/>
  <c r="P24"/>
  <c r="P47" s="1"/>
  <c r="P48" s="1"/>
  <c r="R47" i="1"/>
  <c r="S151" i="2" s="1"/>
  <c r="R65" i="6" s="1"/>
  <c r="R67" s="1"/>
  <c r="R46"/>
  <c r="R48" s="1"/>
  <c r="R49" s="1"/>
  <c r="R55"/>
  <c r="R57" s="1"/>
  <c r="T56"/>
  <c r="T54"/>
  <c r="T47"/>
  <c r="T45"/>
  <c r="U61" i="8"/>
  <c r="U150" i="2"/>
  <c r="T64" i="6" s="1"/>
  <c r="K56" i="15"/>
  <c r="L54" s="1"/>
  <c r="L55" s="1"/>
  <c r="U20"/>
  <c r="U22" s="1"/>
  <c r="T25" i="6"/>
  <c r="T66"/>
  <c r="R24"/>
  <c r="R26" s="1"/>
  <c r="R75" s="1"/>
  <c r="S27" i="15" s="1"/>
  <c r="Q27" i="6"/>
  <c r="Q75"/>
  <c r="R27" i="15" s="1"/>
  <c r="T310" i="9"/>
  <c r="U310"/>
  <c r="S93" i="8"/>
  <c r="S44" i="15" s="1"/>
  <c r="T65" i="8"/>
  <c r="T66" s="1"/>
  <c r="P83" i="15"/>
  <c r="U320" i="9"/>
  <c r="T320"/>
  <c r="U316"/>
  <c r="T316"/>
  <c r="T312"/>
  <c r="U312"/>
  <c r="T315"/>
  <c r="U315"/>
  <c r="U318"/>
  <c r="T318"/>
  <c r="U314"/>
  <c r="T314"/>
  <c r="U319"/>
  <c r="T319"/>
  <c r="T311"/>
  <c r="U311"/>
  <c r="T317"/>
  <c r="U317"/>
  <c r="T313"/>
  <c r="U313"/>
  <c r="Q80" i="15"/>
  <c r="Q81" s="1"/>
  <c r="Q79" s="1"/>
  <c r="S43" i="8"/>
  <c r="T91"/>
  <c r="T42" i="15" s="1"/>
  <c r="Q25"/>
  <c r="U62" i="8"/>
  <c r="U40"/>
  <c r="Q76" i="15"/>
  <c r="Q74" s="1"/>
  <c r="Q32"/>
  <c r="Q31" s="1"/>
  <c r="S52" i="8"/>
  <c r="S92"/>
  <c r="S43" i="15" s="1"/>
  <c r="O70"/>
  <c r="O69" s="1"/>
  <c r="O50"/>
  <c r="O53" s="1"/>
  <c r="U33" i="8"/>
  <c r="U90"/>
  <c r="T33"/>
  <c r="T90"/>
  <c r="U21"/>
  <c r="U89"/>
  <c r="U40" i="15" s="1"/>
  <c r="T21" i="8"/>
  <c r="T89"/>
  <c r="T40" i="15" s="1"/>
  <c r="T85" i="7"/>
  <c r="U33" i="15" s="1"/>
  <c r="T74" i="7"/>
  <c r="T73"/>
  <c r="R90"/>
  <c r="S38" i="15" s="1"/>
  <c r="T75" i="7"/>
  <c r="S19"/>
  <c r="S78"/>
  <c r="R40" i="1"/>
  <c r="R41" s="1"/>
  <c r="R376" i="9"/>
  <c r="P91" i="7"/>
  <c r="P92" s="1"/>
  <c r="R374" i="9"/>
  <c r="R382"/>
  <c r="S343"/>
  <c r="R377"/>
  <c r="T39" i="7"/>
  <c r="T87"/>
  <c r="U35" i="15" s="1"/>
  <c r="Q60" i="7"/>
  <c r="Q89"/>
  <c r="R37" i="15" s="1"/>
  <c r="S328" i="9"/>
  <c r="Q55" i="11"/>
  <c r="Q63" s="1"/>
  <c r="Q88" i="7"/>
  <c r="R36" i="15" s="1"/>
  <c r="Q51" i="7"/>
  <c r="R42"/>
  <c r="S41"/>
  <c r="T49" i="8" s="1"/>
  <c r="T51" s="1"/>
  <c r="S29" i="7"/>
  <c r="S86"/>
  <c r="T34" i="15" s="1"/>
  <c r="T358" i="9"/>
  <c r="S87" i="7"/>
  <c r="T35" i="15" s="1"/>
  <c r="S39" i="7"/>
  <c r="T29"/>
  <c r="T86"/>
  <c r="U34" i="15" s="1"/>
  <c r="T41" i="7"/>
  <c r="U49" i="8" s="1"/>
  <c r="U51" s="1"/>
  <c r="R57" i="7"/>
  <c r="R59" s="1"/>
  <c r="R48"/>
  <c r="R50" s="1"/>
  <c r="P79" i="6"/>
  <c r="P80" s="1"/>
  <c r="T23"/>
  <c r="Q76"/>
  <c r="R28" i="15" s="1"/>
  <c r="Q37" i="6"/>
  <c r="R74"/>
  <c r="S26" i="15" s="1"/>
  <c r="R18" i="6"/>
  <c r="S38" i="1"/>
  <c r="O369" i="9"/>
  <c r="O384"/>
  <c r="O385" s="1"/>
  <c r="Q78" i="6"/>
  <c r="R30" i="15" s="1"/>
  <c r="Q68" i="6"/>
  <c r="T34" i="1"/>
  <c r="T36" s="1"/>
  <c r="P368" i="9"/>
  <c r="Q159"/>
  <c r="P160"/>
  <c r="P161" s="1"/>
  <c r="AJ181" s="1"/>
  <c r="P176"/>
  <c r="P177" s="1"/>
  <c r="P178" s="1"/>
  <c r="AJ182" s="1"/>
  <c r="R380"/>
  <c r="P23" i="11"/>
  <c r="P61" s="1"/>
  <c r="S332" i="9"/>
  <c r="S348"/>
  <c r="T366"/>
  <c r="S335"/>
  <c r="S331"/>
  <c r="S350"/>
  <c r="S346"/>
  <c r="T361"/>
  <c r="S334"/>
  <c r="S338"/>
  <c r="S349"/>
  <c r="S345"/>
  <c r="T364"/>
  <c r="T360"/>
  <c r="R321"/>
  <c r="R379"/>
  <c r="Q228"/>
  <c r="S333"/>
  <c r="S330"/>
  <c r="S352"/>
  <c r="S347"/>
  <c r="S344"/>
  <c r="T367"/>
  <c r="T363"/>
  <c r="T359"/>
  <c r="Q23" i="11"/>
  <c r="Q61" s="1"/>
  <c r="R375" i="9"/>
  <c r="R339"/>
  <c r="Q306"/>
  <c r="R381"/>
  <c r="T362"/>
  <c r="P39" i="11"/>
  <c r="P62" s="1"/>
  <c r="R378" i="9"/>
  <c r="Q198"/>
  <c r="R383"/>
  <c r="S336"/>
  <c r="S329"/>
  <c r="S351"/>
  <c r="S353"/>
  <c r="S337"/>
  <c r="T365"/>
  <c r="R258"/>
  <c r="Q291"/>
  <c r="R354"/>
  <c r="T110" i="2"/>
  <c r="S208" i="9" s="1"/>
  <c r="S18" i="11" s="1"/>
  <c r="T112" i="2"/>
  <c r="S210" i="9" s="1"/>
  <c r="S20" i="11" s="1"/>
  <c r="T107" i="2"/>
  <c r="S205" i="9" s="1"/>
  <c r="S15" i="11" s="1"/>
  <c r="T104" i="2"/>
  <c r="S202" i="9" s="1"/>
  <c r="S12" i="11" s="1"/>
  <c r="T113" i="2"/>
  <c r="S211" i="9" s="1"/>
  <c r="S21" i="11" s="1"/>
  <c r="T108" i="2"/>
  <c r="S206" i="9" s="1"/>
  <c r="S16" i="11" s="1"/>
  <c r="T105" i="2"/>
  <c r="S203" i="9" s="1"/>
  <c r="S13" i="11" s="1"/>
  <c r="T109" i="2"/>
  <c r="S207" i="9" s="1"/>
  <c r="T106" i="2"/>
  <c r="S204" i="9" s="1"/>
  <c r="S14" i="11" s="1"/>
  <c r="T114" i="2"/>
  <c r="S212" i="9" s="1"/>
  <c r="S22" i="11" s="1"/>
  <c r="T111" i="2"/>
  <c r="S209" i="9" s="1"/>
  <c r="U141" i="2"/>
  <c r="S269" i="9" s="1"/>
  <c r="T51" i="11" s="1"/>
  <c r="U137" i="2"/>
  <c r="S265" i="9" s="1"/>
  <c r="S47" i="11" s="1"/>
  <c r="U144" i="2"/>
  <c r="S272" i="9" s="1"/>
  <c r="S54" i="11" s="1"/>
  <c r="U140" i="2"/>
  <c r="S268" i="9" s="1"/>
  <c r="S50" i="11" s="1"/>
  <c r="U136" i="2"/>
  <c r="S264" i="9" s="1"/>
  <c r="S46" i="11" s="1"/>
  <c r="U143" i="2"/>
  <c r="S271" i="9" s="1"/>
  <c r="T53" i="11" s="1"/>
  <c r="U142" i="2"/>
  <c r="S270" i="9" s="1"/>
  <c r="S52" i="11" s="1"/>
  <c r="U135" i="2"/>
  <c r="S263" i="9" s="1"/>
  <c r="S45" i="11" s="1"/>
  <c r="U134" i="2"/>
  <c r="S262" i="9" s="1"/>
  <c r="T44" i="11" s="1"/>
  <c r="U139" i="2"/>
  <c r="S267" i="9" s="1"/>
  <c r="S49" i="11" s="1"/>
  <c r="U138" i="2"/>
  <c r="S266" i="9" s="1"/>
  <c r="S48" i="11" s="1"/>
  <c r="T128" i="2"/>
  <c r="R241" i="9" s="1"/>
  <c r="R37" i="11" s="1"/>
  <c r="T124" i="2"/>
  <c r="R237" i="9" s="1"/>
  <c r="R33" i="11" s="1"/>
  <c r="T120" i="2"/>
  <c r="R233" i="9" s="1"/>
  <c r="R29" i="11" s="1"/>
  <c r="T126" i="2"/>
  <c r="R239" i="9" s="1"/>
  <c r="R35" i="11" s="1"/>
  <c r="T121" i="2"/>
  <c r="R234" i="9" s="1"/>
  <c r="R30" i="11" s="1"/>
  <c r="T125" i="2"/>
  <c r="R238" i="9" s="1"/>
  <c r="R34" i="11" s="1"/>
  <c r="T123" i="2"/>
  <c r="R236" i="9" s="1"/>
  <c r="R32" i="11" s="1"/>
  <c r="T122" i="2"/>
  <c r="R235" i="9" s="1"/>
  <c r="R31" i="11" s="1"/>
  <c r="T129" i="2"/>
  <c r="R242" i="9" s="1"/>
  <c r="T127" i="2"/>
  <c r="R240" i="9" s="1"/>
  <c r="R36" i="11" s="1"/>
  <c r="T119" i="2"/>
  <c r="R232" i="9" s="1"/>
  <c r="U98" i="2"/>
  <c r="U97"/>
  <c r="U19"/>
  <c r="T14" i="6"/>
  <c r="T16"/>
  <c r="R36"/>
  <c r="S35"/>
  <c r="S33"/>
  <c r="J58" i="15" l="1"/>
  <c r="J63" s="1"/>
  <c r="J67" s="1"/>
  <c r="J72" s="1"/>
  <c r="J85" s="1"/>
  <c r="J87" s="1"/>
  <c r="J88" s="1"/>
  <c r="K61"/>
  <c r="K59"/>
  <c r="I86"/>
  <c r="I89" s="1"/>
  <c r="R243" i="9"/>
  <c r="T49" i="11"/>
  <c r="T48"/>
  <c r="R38"/>
  <c r="T50"/>
  <c r="T45"/>
  <c r="S53"/>
  <c r="T47"/>
  <c r="S17"/>
  <c r="T46"/>
  <c r="S51"/>
  <c r="S273" i="9"/>
  <c r="S213"/>
  <c r="S44" i="11"/>
  <c r="R28"/>
  <c r="T54"/>
  <c r="S19"/>
  <c r="T52"/>
  <c r="P64"/>
  <c r="Q51" i="15" s="1"/>
  <c r="L60"/>
  <c r="L61"/>
  <c r="S39"/>
  <c r="S96" i="8"/>
  <c r="S97" s="1"/>
  <c r="U41" i="15"/>
  <c r="T41"/>
  <c r="R27" i="6"/>
  <c r="R58"/>
  <c r="R77"/>
  <c r="S29" i="15" s="1"/>
  <c r="S47" i="1"/>
  <c r="T151" i="2" s="1"/>
  <c r="S65" i="6" s="1"/>
  <c r="S67" s="1"/>
  <c r="S46"/>
  <c r="S48" s="1"/>
  <c r="S49" s="1"/>
  <c r="S55"/>
  <c r="S57" s="1"/>
  <c r="S58" s="1"/>
  <c r="L59" i="15"/>
  <c r="L56"/>
  <c r="M54" s="1"/>
  <c r="M55" s="1"/>
  <c r="M61" s="1"/>
  <c r="T258" i="9"/>
  <c r="S34" i="6"/>
  <c r="S36" s="1"/>
  <c r="U295" i="9"/>
  <c r="T295"/>
  <c r="T280"/>
  <c r="U280"/>
  <c r="R80" i="15"/>
  <c r="R81" s="1"/>
  <c r="R79" s="1"/>
  <c r="S374" i="9"/>
  <c r="U42" i="8"/>
  <c r="U91" s="1"/>
  <c r="U42" i="15" s="1"/>
  <c r="T93" i="8"/>
  <c r="T44" i="15" s="1"/>
  <c r="U65" i="8"/>
  <c r="U66" s="1"/>
  <c r="Q24" i="15"/>
  <c r="Q47" s="1"/>
  <c r="Q48" s="1"/>
  <c r="U282" i="9"/>
  <c r="T282"/>
  <c r="U285"/>
  <c r="T285"/>
  <c r="T287"/>
  <c r="U287"/>
  <c r="U290"/>
  <c r="T290"/>
  <c r="U286"/>
  <c r="T286"/>
  <c r="T289"/>
  <c r="U289"/>
  <c r="U288"/>
  <c r="T288"/>
  <c r="U284"/>
  <c r="T284"/>
  <c r="U281"/>
  <c r="T281"/>
  <c r="T283"/>
  <c r="U283"/>
  <c r="U302"/>
  <c r="T302"/>
  <c r="T304"/>
  <c r="U304"/>
  <c r="T299"/>
  <c r="U299"/>
  <c r="U305"/>
  <c r="T305"/>
  <c r="U298"/>
  <c r="T298"/>
  <c r="U303"/>
  <c r="T303"/>
  <c r="T300"/>
  <c r="U300"/>
  <c r="T296"/>
  <c r="U296"/>
  <c r="U301"/>
  <c r="T301"/>
  <c r="U297"/>
  <c r="T297"/>
  <c r="U321"/>
  <c r="T321"/>
  <c r="Q83" i="15"/>
  <c r="T43" i="8"/>
  <c r="R76" i="15"/>
  <c r="R74" s="1"/>
  <c r="R25"/>
  <c r="R32"/>
  <c r="R31" s="1"/>
  <c r="U52" i="8"/>
  <c r="U92"/>
  <c r="U43" i="15" s="1"/>
  <c r="T52" i="8"/>
  <c r="T92"/>
  <c r="T43" i="15" s="1"/>
  <c r="P70"/>
  <c r="P69" s="1"/>
  <c r="P50"/>
  <c r="P53" s="1"/>
  <c r="T78" i="7"/>
  <c r="T79" s="1"/>
  <c r="S79"/>
  <c r="S90"/>
  <c r="T38" i="15" s="1"/>
  <c r="S381" i="9"/>
  <c r="Q91" i="7"/>
  <c r="Q92" s="1"/>
  <c r="S376" i="9"/>
  <c r="S377"/>
  <c r="T42" i="7"/>
  <c r="S379" i="9"/>
  <c r="R55" i="11"/>
  <c r="R63" s="1"/>
  <c r="S383" i="9"/>
  <c r="T343"/>
  <c r="R51" i="7"/>
  <c r="R88"/>
  <c r="S36" i="15" s="1"/>
  <c r="T328" i="9"/>
  <c r="Q79" i="6"/>
  <c r="Q80" s="1"/>
  <c r="R89" i="7"/>
  <c r="S37" i="15" s="1"/>
  <c r="R60" i="7"/>
  <c r="S42"/>
  <c r="T48"/>
  <c r="T50" s="1"/>
  <c r="T57"/>
  <c r="T59" s="1"/>
  <c r="S48"/>
  <c r="S50" s="1"/>
  <c r="S57"/>
  <c r="S59" s="1"/>
  <c r="T38" i="1"/>
  <c r="R76" i="6"/>
  <c r="S28" i="15" s="1"/>
  <c r="R37" i="6"/>
  <c r="S24"/>
  <c r="S26" s="1"/>
  <c r="S40" i="1"/>
  <c r="S41" s="1"/>
  <c r="S15" i="6"/>
  <c r="S17" s="1"/>
  <c r="R78"/>
  <c r="S30" i="15" s="1"/>
  <c r="R68" i="6"/>
  <c r="Q176" i="9"/>
  <c r="Q177" s="1"/>
  <c r="Q178" s="1"/>
  <c r="AK182" s="1"/>
  <c r="Q368"/>
  <c r="R159"/>
  <c r="Q160"/>
  <c r="Q161" s="1"/>
  <c r="AK181" s="1"/>
  <c r="P369"/>
  <c r="P384"/>
  <c r="P385" s="1"/>
  <c r="Q39" i="11"/>
  <c r="T337" i="9"/>
  <c r="T336"/>
  <c r="T332"/>
  <c r="T329"/>
  <c r="T351"/>
  <c r="T348"/>
  <c r="T344"/>
  <c r="S354"/>
  <c r="R291"/>
  <c r="R306"/>
  <c r="T352"/>
  <c r="T335"/>
  <c r="T331"/>
  <c r="T338"/>
  <c r="T350"/>
  <c r="T346"/>
  <c r="S382"/>
  <c r="T334"/>
  <c r="T330"/>
  <c r="T349"/>
  <c r="T345"/>
  <c r="S375"/>
  <c r="S339"/>
  <c r="S258"/>
  <c r="T333"/>
  <c r="T347"/>
  <c r="T353"/>
  <c r="R198"/>
  <c r="S321"/>
  <c r="R228"/>
  <c r="S380"/>
  <c r="S378"/>
  <c r="U129" i="2"/>
  <c r="S242" i="9" s="1"/>
  <c r="T38" i="11" s="1"/>
  <c r="U125" i="2"/>
  <c r="S238" i="9" s="1"/>
  <c r="T34" i="11" s="1"/>
  <c r="U121" i="2"/>
  <c r="S234" i="9" s="1"/>
  <c r="T30" i="11" s="1"/>
  <c r="U127" i="2"/>
  <c r="S240" i="9" s="1"/>
  <c r="S36" i="11" s="1"/>
  <c r="U122" i="2"/>
  <c r="S235" i="9" s="1"/>
  <c r="S31" i="11" s="1"/>
  <c r="U124" i="2"/>
  <c r="S237" i="9" s="1"/>
  <c r="T33" i="11" s="1"/>
  <c r="U123" i="2"/>
  <c r="S236" i="9" s="1"/>
  <c r="S32" i="11" s="1"/>
  <c r="U128" i="2"/>
  <c r="S241" i="9" s="1"/>
  <c r="S37" i="11" s="1"/>
  <c r="U120" i="2"/>
  <c r="S233" i="9" s="1"/>
  <c r="S29" i="11" s="1"/>
  <c r="U119" i="2"/>
  <c r="S232" i="9" s="1"/>
  <c r="U126" i="2"/>
  <c r="S239" i="9" s="1"/>
  <c r="S35" i="11" s="1"/>
  <c r="U111" i="2"/>
  <c r="T209" i="9" s="1"/>
  <c r="T19" i="11" s="1"/>
  <c r="U107" i="2"/>
  <c r="T205" i="9" s="1"/>
  <c r="T15" i="11" s="1"/>
  <c r="U113" i="2"/>
  <c r="T211" i="9" s="1"/>
  <c r="T21" i="11" s="1"/>
  <c r="U108" i="2"/>
  <c r="T206" i="9" s="1"/>
  <c r="T16" i="11" s="1"/>
  <c r="U105" i="2"/>
  <c r="T203" i="9" s="1"/>
  <c r="T13" i="11" s="1"/>
  <c r="U109" i="2"/>
  <c r="T207" i="9" s="1"/>
  <c r="T17" i="11" s="1"/>
  <c r="U106" i="2"/>
  <c r="T204" i="9" s="1"/>
  <c r="T14" i="11" s="1"/>
  <c r="U114" i="2"/>
  <c r="T212" i="9" s="1"/>
  <c r="T22" i="11" s="1"/>
  <c r="U110" i="2"/>
  <c r="T208" i="9" s="1"/>
  <c r="T18" i="11" s="1"/>
  <c r="U112" i="2"/>
  <c r="T210" i="9" s="1"/>
  <c r="T20" i="11" s="1"/>
  <c r="U104" i="2"/>
  <c r="T202" i="9" s="1"/>
  <c r="T33" i="6"/>
  <c r="T35"/>
  <c r="J86" i="15" l="1"/>
  <c r="K58"/>
  <c r="K63" s="1"/>
  <c r="K67" s="1"/>
  <c r="K72" s="1"/>
  <c r="K85" s="1"/>
  <c r="K87" s="1"/>
  <c r="K88" s="1"/>
  <c r="T213" i="9"/>
  <c r="S243"/>
  <c r="T31" i="11"/>
  <c r="S33"/>
  <c r="S28"/>
  <c r="T36"/>
  <c r="T35"/>
  <c r="T37"/>
  <c r="S30"/>
  <c r="S34"/>
  <c r="S38"/>
  <c r="T28"/>
  <c r="T32"/>
  <c r="T12"/>
  <c r="T29"/>
  <c r="J89" i="15"/>
  <c r="Q62" i="11"/>
  <c r="Q64" s="1"/>
  <c r="R51" i="15" s="1"/>
  <c r="T39"/>
  <c r="T96" i="8"/>
  <c r="T97" s="1"/>
  <c r="T47" i="1"/>
  <c r="U151" i="2" s="1"/>
  <c r="T65" i="6" s="1"/>
  <c r="T67" s="1"/>
  <c r="T46"/>
  <c r="T48" s="1"/>
  <c r="T49" s="1"/>
  <c r="T55"/>
  <c r="T57" s="1"/>
  <c r="T58" s="1"/>
  <c r="R83" i="15"/>
  <c r="L58"/>
  <c r="L63" s="1"/>
  <c r="L67" s="1"/>
  <c r="L72" s="1"/>
  <c r="L85" s="1"/>
  <c r="M56"/>
  <c r="N54" s="1"/>
  <c r="N55" s="1"/>
  <c r="M59"/>
  <c r="M60"/>
  <c r="K86"/>
  <c r="T198" i="9"/>
  <c r="T228"/>
  <c r="T15" i="6"/>
  <c r="T17" s="1"/>
  <c r="T74" s="1"/>
  <c r="U26" i="15" s="1"/>
  <c r="U93" i="8"/>
  <c r="U44" i="15" s="1"/>
  <c r="U39" s="1"/>
  <c r="U43" i="8"/>
  <c r="U306" i="9"/>
  <c r="T291"/>
  <c r="U291"/>
  <c r="T306"/>
  <c r="R24" i="15"/>
  <c r="R47" s="1"/>
  <c r="R48" s="1"/>
  <c r="S76"/>
  <c r="S74" s="1"/>
  <c r="S25"/>
  <c r="S80"/>
  <c r="S81" s="1"/>
  <c r="S79" s="1"/>
  <c r="S32"/>
  <c r="S31" s="1"/>
  <c r="Q70"/>
  <c r="Q69" s="1"/>
  <c r="Q50"/>
  <c r="Q53" s="1"/>
  <c r="T90" i="7"/>
  <c r="U38" i="15" s="1"/>
  <c r="T378" i="9"/>
  <c r="R91" i="7"/>
  <c r="R92" s="1"/>
  <c r="S55" i="11"/>
  <c r="S63" s="1"/>
  <c r="T379" i="9"/>
  <c r="T374"/>
  <c r="S89" i="7"/>
  <c r="T37" i="15" s="1"/>
  <c r="S60" i="7"/>
  <c r="S51"/>
  <c r="S88"/>
  <c r="T36" i="15" s="1"/>
  <c r="T381" i="9"/>
  <c r="T375"/>
  <c r="T60" i="7"/>
  <c r="T89"/>
  <c r="U37" i="15" s="1"/>
  <c r="T88" i="7"/>
  <c r="U36" i="15" s="1"/>
  <c r="T51" i="7"/>
  <c r="T34" i="6"/>
  <c r="T36" s="1"/>
  <c r="T40" i="1"/>
  <c r="T41" s="1"/>
  <c r="S77" i="6"/>
  <c r="T29" i="15" s="1"/>
  <c r="T24" i="6"/>
  <c r="T26" s="1"/>
  <c r="R79"/>
  <c r="R80" s="1"/>
  <c r="S78"/>
  <c r="T30" i="15" s="1"/>
  <c r="S68" i="6"/>
  <c r="S74"/>
  <c r="T26" i="15" s="1"/>
  <c r="X26" s="1"/>
  <c r="S18" i="6"/>
  <c r="S75"/>
  <c r="T27" i="15" s="1"/>
  <c r="S27" i="6"/>
  <c r="S76"/>
  <c r="T28" i="15" s="1"/>
  <c r="S37" i="6"/>
  <c r="R368" i="9"/>
  <c r="R176"/>
  <c r="R177" s="1"/>
  <c r="R178" s="1"/>
  <c r="AL182" s="1"/>
  <c r="S159"/>
  <c r="R160"/>
  <c r="R161" s="1"/>
  <c r="AL181" s="1"/>
  <c r="Q369"/>
  <c r="Q384"/>
  <c r="Q385" s="1"/>
  <c r="T376"/>
  <c r="R39" i="11"/>
  <c r="R62" s="1"/>
  <c r="T380" i="9"/>
  <c r="T55" i="11"/>
  <c r="T63" s="1"/>
  <c r="T339" i="9"/>
  <c r="T354"/>
  <c r="S228"/>
  <c r="S306"/>
  <c r="S198"/>
  <c r="T383"/>
  <c r="T377"/>
  <c r="R23" i="11"/>
  <c r="R61" s="1"/>
  <c r="S291" i="9"/>
  <c r="T382"/>
  <c r="X39" i="15" l="1"/>
  <c r="T18" i="6"/>
  <c r="K89" i="15"/>
  <c r="R70"/>
  <c r="R69" s="1"/>
  <c r="R50"/>
  <c r="R53" s="1"/>
  <c r="R64" i="11"/>
  <c r="S51" i="15" s="1"/>
  <c r="L87"/>
  <c r="L88" s="1"/>
  <c r="N59"/>
  <c r="N61"/>
  <c r="U76"/>
  <c r="U74" s="1"/>
  <c r="U96" i="8"/>
  <c r="U97" s="1"/>
  <c r="L86" i="15"/>
  <c r="N60"/>
  <c r="N56"/>
  <c r="O54" s="1"/>
  <c r="O55" s="1"/>
  <c r="M58"/>
  <c r="M63" s="1"/>
  <c r="M67" s="1"/>
  <c r="M72" s="1"/>
  <c r="M85" s="1"/>
  <c r="M87" s="1"/>
  <c r="T23" i="11"/>
  <c r="T61" s="1"/>
  <c r="U80" i="15"/>
  <c r="U81" s="1"/>
  <c r="U79" s="1"/>
  <c r="V80"/>
  <c r="S24"/>
  <c r="S47" s="1"/>
  <c r="S48" s="1"/>
  <c r="T80"/>
  <c r="T81" s="1"/>
  <c r="T79" s="1"/>
  <c r="S83"/>
  <c r="T76"/>
  <c r="T74" s="1"/>
  <c r="U32"/>
  <c r="U31" s="1"/>
  <c r="T25"/>
  <c r="T32"/>
  <c r="T31" s="1"/>
  <c r="T91" i="7"/>
  <c r="T92" s="1"/>
  <c r="S91"/>
  <c r="S92" s="1"/>
  <c r="T39" i="11"/>
  <c r="T62" s="1"/>
  <c r="T77" i="6"/>
  <c r="U29" i="15" s="1"/>
  <c r="X29" s="1"/>
  <c r="F21" i="21" s="1"/>
  <c r="E21" s="1"/>
  <c r="T27" i="6"/>
  <c r="T75"/>
  <c r="U27" i="15" s="1"/>
  <c r="X27" s="1"/>
  <c r="S79" i="6"/>
  <c r="S80" s="1"/>
  <c r="S160" i="9"/>
  <c r="S161" s="1"/>
  <c r="AM181" s="1"/>
  <c r="S176"/>
  <c r="S177" s="1"/>
  <c r="S178" s="1"/>
  <c r="AM182" s="1"/>
  <c r="T159"/>
  <c r="S368"/>
  <c r="T76" i="6"/>
  <c r="U28" i="15" s="1"/>
  <c r="X28" s="1"/>
  <c r="T37" i="6"/>
  <c r="R369" i="9"/>
  <c r="R384"/>
  <c r="R385" s="1"/>
  <c r="T78" i="6"/>
  <c r="U30" i="15" s="1"/>
  <c r="X30" s="1"/>
  <c r="E23" i="21" s="1"/>
  <c r="T68" i="6"/>
  <c r="S23" i="11"/>
  <c r="S61" s="1"/>
  <c r="S39"/>
  <c r="S62" s="1"/>
  <c r="X32" i="15" l="1"/>
  <c r="F19" i="21" s="1"/>
  <c r="X31" i="15"/>
  <c r="F20" i="21"/>
  <c r="E20" s="1"/>
  <c r="V81" i="15"/>
  <c r="V79" s="1"/>
  <c r="V83" s="1"/>
  <c r="V85" s="1"/>
  <c r="V87" s="1"/>
  <c r="L89"/>
  <c r="M88"/>
  <c r="S64" i="11"/>
  <c r="T51" i="15" s="1"/>
  <c r="T64" i="11"/>
  <c r="O59" i="15"/>
  <c r="O61"/>
  <c r="U83"/>
  <c r="O60"/>
  <c r="M86"/>
  <c r="N58"/>
  <c r="N63" s="1"/>
  <c r="N67" s="1"/>
  <c r="N72" s="1"/>
  <c r="N85" s="1"/>
  <c r="N87" s="1"/>
  <c r="N88" s="1"/>
  <c r="O56"/>
  <c r="P54" s="1"/>
  <c r="P55" s="1"/>
  <c r="P61" s="1"/>
  <c r="U51"/>
  <c r="U50" s="1"/>
  <c r="T83"/>
  <c r="U25"/>
  <c r="T24"/>
  <c r="T47" s="1"/>
  <c r="T48" s="1"/>
  <c r="S70"/>
  <c r="S69" s="1"/>
  <c r="S50"/>
  <c r="S53" s="1"/>
  <c r="T79" i="6"/>
  <c r="T80" s="1"/>
  <c r="T368" i="9"/>
  <c r="T160"/>
  <c r="T161" s="1"/>
  <c r="AN181" s="1"/>
  <c r="T176"/>
  <c r="T177" s="1"/>
  <c r="T178" s="1"/>
  <c r="AN182" s="1"/>
  <c r="S369"/>
  <c r="S384"/>
  <c r="S385" s="1"/>
  <c r="E19" i="21" l="1"/>
  <c r="U24" i="15"/>
  <c r="U47" s="1"/>
  <c r="X25"/>
  <c r="M89"/>
  <c r="U70"/>
  <c r="U69" s="1"/>
  <c r="O58"/>
  <c r="O63" s="1"/>
  <c r="O67" s="1"/>
  <c r="O72" s="1"/>
  <c r="O85" s="1"/>
  <c r="O87" s="1"/>
  <c r="O88" s="1"/>
  <c r="P56"/>
  <c r="Q54" s="1"/>
  <c r="Q55" s="1"/>
  <c r="P59"/>
  <c r="P60"/>
  <c r="N86"/>
  <c r="T70"/>
  <c r="T69" s="1"/>
  <c r="T50"/>
  <c r="T53" s="1"/>
  <c r="T369" i="9"/>
  <c r="T384"/>
  <c r="T385" s="1"/>
  <c r="X50" i="15" l="1"/>
  <c r="U48"/>
  <c r="U53"/>
  <c r="Q60"/>
  <c r="Q61"/>
  <c r="P58"/>
  <c r="P63" s="1"/>
  <c r="P67" s="1"/>
  <c r="P72" s="1"/>
  <c r="P85" s="1"/>
  <c r="P87" s="1"/>
  <c r="P88" s="1"/>
  <c r="Q59"/>
  <c r="Q56"/>
  <c r="R54" s="1"/>
  <c r="R55" s="1"/>
  <c r="R61" s="1"/>
  <c r="O86"/>
  <c r="F22" i="21" l="1"/>
  <c r="F24" s="1"/>
  <c r="X24" i="15"/>
  <c r="O89"/>
  <c r="P86"/>
  <c r="Q58"/>
  <c r="Q63" s="1"/>
  <c r="Q67" s="1"/>
  <c r="Q72" s="1"/>
  <c r="Q85" s="1"/>
  <c r="Q87" s="1"/>
  <c r="Q88" s="1"/>
  <c r="R59"/>
  <c r="R56"/>
  <c r="S54" s="1"/>
  <c r="S55" s="1"/>
  <c r="S61" s="1"/>
  <c r="R60"/>
  <c r="Y32" l="1"/>
  <c r="Y31"/>
  <c r="Y50"/>
  <c r="Y25"/>
  <c r="Y39"/>
  <c r="E22" i="21"/>
  <c r="E24" s="1"/>
  <c r="G22"/>
  <c r="G27" s="1"/>
  <c r="P89" i="15"/>
  <c r="Q86"/>
  <c r="R58"/>
  <c r="R63" s="1"/>
  <c r="R67" s="1"/>
  <c r="R72" s="1"/>
  <c r="R85" s="1"/>
  <c r="R87" s="1"/>
  <c r="R88" s="1"/>
  <c r="S59"/>
  <c r="S56"/>
  <c r="T54" s="1"/>
  <c r="T55" s="1"/>
  <c r="S60"/>
  <c r="G20" i="21" l="1"/>
  <c r="E27" s="1"/>
  <c r="G21"/>
  <c r="F27" s="1"/>
  <c r="G19"/>
  <c r="Q89" i="15"/>
  <c r="T56"/>
  <c r="U54" s="1"/>
  <c r="U55" s="1"/>
  <c r="T61"/>
  <c r="R86"/>
  <c r="S58"/>
  <c r="S63" s="1"/>
  <c r="S67" s="1"/>
  <c r="S72" s="1"/>
  <c r="S85" s="1"/>
  <c r="S87" s="1"/>
  <c r="S88" s="1"/>
  <c r="T60"/>
  <c r="T59"/>
  <c r="D27" i="21" l="1"/>
  <c r="G23"/>
  <c r="G24" s="1"/>
  <c r="R89" i="15"/>
  <c r="U56"/>
  <c r="U61"/>
  <c r="U59"/>
  <c r="U60"/>
  <c r="S86"/>
  <c r="T58"/>
  <c r="T63" s="1"/>
  <c r="T67" s="1"/>
  <c r="T72" s="1"/>
  <c r="T85" s="1"/>
  <c r="T87" s="1"/>
  <c r="T88" s="1"/>
  <c r="H27" i="21" l="1"/>
  <c r="J27" s="1"/>
  <c r="U58" i="15"/>
  <c r="U63" s="1"/>
  <c r="U67" s="1"/>
  <c r="U72" s="1"/>
  <c r="U85" s="1"/>
  <c r="T86"/>
  <c r="U128" i="9"/>
  <c r="U129" s="1"/>
  <c r="U77"/>
  <c r="U78" s="1"/>
  <c r="F94" i="15" l="1"/>
  <c r="U87"/>
  <c r="U88" s="1"/>
  <c r="V88" s="1"/>
  <c r="U86"/>
  <c r="V86" s="1"/>
  <c r="U89" l="1"/>
  <c r="F95" s="1"/>
</calcChain>
</file>

<file path=xl/sharedStrings.xml><?xml version="1.0" encoding="utf-8"?>
<sst xmlns="http://schemas.openxmlformats.org/spreadsheetml/2006/main" count="1295" uniqueCount="531">
  <si>
    <t>1. - DADOS OPERACIONAIS</t>
  </si>
  <si>
    <t>1.1. - COMPOSIÇÃO DA FROTA</t>
  </si>
  <si>
    <t>1.2. - COMPOSIÇÃO DA QUILOMETRAGEM</t>
  </si>
  <si>
    <t>Preço de Óleo Diesel</t>
  </si>
  <si>
    <t>Preço de Arla32</t>
  </si>
  <si>
    <t>(R$/ℓ)</t>
  </si>
  <si>
    <t>Un.</t>
  </si>
  <si>
    <t>FROTA OPERACIONAL</t>
  </si>
  <si>
    <t>FROTA RESERVA</t>
  </si>
  <si>
    <t>FROTA TOTAL</t>
  </si>
  <si>
    <t>QUILOMETRAGEM EFETIVA</t>
  </si>
  <si>
    <t>QUILOMETRAGEM OCIOSA</t>
  </si>
  <si>
    <t>TIPOLOGIA DA FROTA</t>
  </si>
  <si>
    <t>FROTA</t>
  </si>
  <si>
    <t>TERMINOLOGIA</t>
  </si>
  <si>
    <t>CONVENCIONAL</t>
  </si>
  <si>
    <t>(Passag./Mês)</t>
  </si>
  <si>
    <t>PASSAGEIROS TRANSPORTADOS</t>
  </si>
  <si>
    <t>1.3. - PASSAGEIROS TRANSPORTADOS</t>
  </si>
  <si>
    <t>(Veíc./Mês)</t>
  </si>
  <si>
    <t>(km/Mês)</t>
  </si>
  <si>
    <t>Média Passageiros Transportados Estudantes</t>
  </si>
  <si>
    <t>Média Passageiros Transportados Estudantes (Equivalentes) 50%</t>
  </si>
  <si>
    <t>Média Passageiros Transportados Gratuidade</t>
  </si>
  <si>
    <t>(R$/un.)</t>
  </si>
  <si>
    <t>(R$/Veíc.)</t>
  </si>
  <si>
    <t>Coef. % sobre Preço de Óleo Diesel</t>
  </si>
  <si>
    <t>COMBUSTÍVEIS</t>
  </si>
  <si>
    <t>LUBRIFICANTES</t>
  </si>
  <si>
    <t>Preço de Veículo Novo Completo</t>
  </si>
  <si>
    <t>Preço de Veículo Sem Rodagem</t>
  </si>
  <si>
    <t>SALÁRIOS</t>
  </si>
  <si>
    <t>(R$/Veíc./ano)</t>
  </si>
  <si>
    <t>BENEFÍCIOS</t>
  </si>
  <si>
    <t>Cesta Básica</t>
  </si>
  <si>
    <t>Vale Refeição</t>
  </si>
  <si>
    <t>Convenio Médico</t>
  </si>
  <si>
    <t>Participação nos Lucros e Resultados</t>
  </si>
  <si>
    <t>Cafe da Manhã</t>
  </si>
  <si>
    <t>Valor de Lubrificantes por Litro</t>
  </si>
  <si>
    <t>(R$/Func./Mês)</t>
  </si>
  <si>
    <r>
      <t>(</t>
    </r>
    <r>
      <rPr>
        <sz val="10"/>
        <color theme="1"/>
        <rFont val="Calibri"/>
        <family val="2"/>
      </rPr>
      <t>ℓ</t>
    </r>
    <r>
      <rPr>
        <sz val="10"/>
        <color theme="1"/>
        <rFont val="Calibri"/>
        <family val="2"/>
        <scheme val="minor"/>
      </rPr>
      <t>/km.)</t>
    </r>
  </si>
  <si>
    <t>Coeficiente de correlação de consumo do Arla32 relacionado ao consumo de diesel</t>
  </si>
  <si>
    <t>ÓLEO DIESEL</t>
  </si>
  <si>
    <t>ARLA32</t>
  </si>
  <si>
    <t>(un./jogos)</t>
  </si>
  <si>
    <t>(ano)</t>
  </si>
  <si>
    <t>(%/Veíc.)</t>
  </si>
  <si>
    <t>Motorista</t>
  </si>
  <si>
    <t>Pessoal de Fiscalização</t>
  </si>
  <si>
    <t>Cobrador</t>
  </si>
  <si>
    <t>FATOR DE UTILIZAÇÃO</t>
  </si>
  <si>
    <t>(Func./Veíc. Op.)</t>
  </si>
  <si>
    <t>QUANTITATIVO DE BENEFÍCIOS</t>
  </si>
  <si>
    <t>(%/Mês)</t>
  </si>
  <si>
    <t>(% a.m.)</t>
  </si>
  <si>
    <t>% sobre pessoal de operação</t>
  </si>
  <si>
    <t>(%/P. Op.)</t>
  </si>
  <si>
    <t>Valor por Veículo</t>
  </si>
  <si>
    <t>BILHETAGEM ELETÔNICA, ITS</t>
  </si>
  <si>
    <t>PERCENTUAL ADOTADO DE OCIOSIDADE DE QUILOMETRAGEM:</t>
  </si>
  <si>
    <t>PESSOAL DE MANUTENÇÃO</t>
  </si>
  <si>
    <t>PESSOAL ADMINISTRATIVO</t>
  </si>
  <si>
    <t>4.1.1. - CUSTEIOS COM ÓLEO DIESEL</t>
  </si>
  <si>
    <t>4.1.2. - CUSTEIOS COM ARLA32</t>
  </si>
  <si>
    <t>4.1. - CÁLCULO DOS CUSTEIOS COM COMBUSTÍVEIS</t>
  </si>
  <si>
    <t>4.2. - CÁLCULO DOS CUSTEIOS COM LUBRIFICANTES</t>
  </si>
  <si>
    <t>4.3. - CÁLCULO DOS CUSTEIOS COM RODAGEM</t>
  </si>
  <si>
    <t>4.3.1. - CUSTEIOS COM PNEU NOVO</t>
  </si>
  <si>
    <t>4.4. - CÁLCULO DOS CUSTEIOS COM PEÇAS E ACESSÓRIOS</t>
  </si>
  <si>
    <t>(R$/mês)</t>
  </si>
  <si>
    <t>total de custeios com Óleo Diesel</t>
  </si>
  <si>
    <t>total de custeios com Arla32</t>
  </si>
  <si>
    <t>PNEU NOVO</t>
  </si>
  <si>
    <t>RECAPAGEM</t>
  </si>
  <si>
    <t>total de custeios com Pç. Acessórios</t>
  </si>
  <si>
    <t>total de custeios com Recapagem</t>
  </si>
  <si>
    <t>total de custeios com Pneu Novo</t>
  </si>
  <si>
    <t>total de custeios com Lubrificantes</t>
  </si>
  <si>
    <t>total de Custos Variáveis</t>
  </si>
  <si>
    <t>Custeios com Óleo Diesel</t>
  </si>
  <si>
    <t>Custeios com Arla32</t>
  </si>
  <si>
    <t>Custeios com Lubrificantes</t>
  </si>
  <si>
    <t>Custeios com Material de Rodagem</t>
  </si>
  <si>
    <t>Custeios com Peças Acessórios</t>
  </si>
  <si>
    <t>7. - INVESTIMENTOS EM FROTA</t>
  </si>
  <si>
    <t>FAIXA ETÁRIA</t>
  </si>
  <si>
    <t>00 a 01 ano</t>
  </si>
  <si>
    <t>Total Veículos</t>
  </si>
  <si>
    <t>01 a 02 ano</t>
  </si>
  <si>
    <t>02 a 03 ano</t>
  </si>
  <si>
    <t>03 a 04 ano</t>
  </si>
  <si>
    <t>04 a 05 ano</t>
  </si>
  <si>
    <t>05 a 06 ano</t>
  </si>
  <si>
    <t>06 a 07 ano</t>
  </si>
  <si>
    <t>07 a 08 ano</t>
  </si>
  <si>
    <t>08 a 09 ano</t>
  </si>
  <si>
    <t>09 a 10 ano</t>
  </si>
  <si>
    <t>+10 anos</t>
  </si>
  <si>
    <t>Pré-Operacional</t>
  </si>
  <si>
    <t>7.1. - AQUISIÇÃO, REVENDA E MOVIMENTAÇÃO DA FROTA (QUANTITATIVO)</t>
  </si>
  <si>
    <t>7.1.1. - AQUISIÇÃO DE VEÍCULOS DA FROTA</t>
  </si>
  <si>
    <t>7.1.2. - REVENDA DE VEÍCULOS DA FROTA</t>
  </si>
  <si>
    <t>7.1.3. - MOVIMENTAÇÃO DE VEÍCULOS DA FROTA</t>
  </si>
  <si>
    <t>7.1.3.4 - TOTALIZAÇÃO DE VEÍCULOS DA FROTA</t>
  </si>
  <si>
    <t>IDADE MÉDIA DA FROTA</t>
  </si>
  <si>
    <t>LIMITE IDADE MÉDIA</t>
  </si>
  <si>
    <t>7.2.1. - INVESTIMENTOS EM VEÍCULOS DA FROTA (VALORES EM REAIS)</t>
  </si>
  <si>
    <t>Fator de depreciação</t>
  </si>
  <si>
    <t>% valor do veíc. novo</t>
  </si>
  <si>
    <t>7.2. - AQUISIÇÃO, REVENDA E MOVIMENTAÇÃO DA FROTA (INVESTIMENTO VALORE EM REAIS - R$)</t>
  </si>
  <si>
    <t>DEPRECIAÇÃO</t>
  </si>
  <si>
    <t>Total</t>
  </si>
  <si>
    <t>8. - CÁLCULO DA DEPRECIAÇÃO DE VEÍCULOS DA FROTA</t>
  </si>
  <si>
    <t>5.1. - CÁLCULO DOS CUSTEIOS COM PESSOAL DE OPERAÇÃO</t>
  </si>
  <si>
    <t>5.1.1. - CUSTEIOS COM MOTORISTAS</t>
  </si>
  <si>
    <t>MOTORISTAS</t>
  </si>
  <si>
    <t>ENCARGOS SOCIAIS</t>
  </si>
  <si>
    <t>(Veíc. Op/mês)</t>
  </si>
  <si>
    <t>(Func./Veíc. Op)</t>
  </si>
  <si>
    <t>(R$/Func.)</t>
  </si>
  <si>
    <t>SALÁRIO BASE MENSAL</t>
  </si>
  <si>
    <t>(%/mês)</t>
  </si>
  <si>
    <t>5.1.2. - CUSTEIOS COM PESSOAL DE FISCALIZAÇÃO</t>
  </si>
  <si>
    <t>Total de Encargos Sociais</t>
  </si>
  <si>
    <t>GRUPO A</t>
  </si>
  <si>
    <t>INSS</t>
  </si>
  <si>
    <t>Acidentes de Trabalho</t>
  </si>
  <si>
    <t>Salário Educação</t>
  </si>
  <si>
    <t>INCRA</t>
  </si>
  <si>
    <t>SENAT</t>
  </si>
  <si>
    <t>SEST</t>
  </si>
  <si>
    <t>SEBRAE</t>
  </si>
  <si>
    <t>FGTS</t>
  </si>
  <si>
    <t>Outros - Especificar</t>
  </si>
  <si>
    <t>GRUPO B</t>
  </si>
  <si>
    <t>Abono de férias</t>
  </si>
  <si>
    <t>Aviso Prévio Trabalhado</t>
  </si>
  <si>
    <t>Licença-Paternidade</t>
  </si>
  <si>
    <t>Licença-Funeral</t>
  </si>
  <si>
    <t>Licença- Casamento</t>
  </si>
  <si>
    <t>Décimo Terceiro Salário</t>
  </si>
  <si>
    <t>Adicional Noturno</t>
  </si>
  <si>
    <t>GRUPO C</t>
  </si>
  <si>
    <t>Depósito por rescisão</t>
  </si>
  <si>
    <t>Aviso Prévio Indenizado</t>
  </si>
  <si>
    <t>Indenização Adicional</t>
  </si>
  <si>
    <t>GRUPO D</t>
  </si>
  <si>
    <t>Incidência cumulativa Grupo A sobre B</t>
  </si>
  <si>
    <t>FISCALIZAÇÃO</t>
  </si>
  <si>
    <t>5.1.3. - CUSTEIOS COM COBRADOR</t>
  </si>
  <si>
    <t>COBRADOR</t>
  </si>
  <si>
    <t>CUSTEIOS C/ PESSOAL DE OPERACÃO</t>
  </si>
  <si>
    <t>TOTAL DE CUSTEIOS - COBRADOR</t>
  </si>
  <si>
    <t>TOTAL DE CUSTEIOS - FISCALIZAÇÃO</t>
  </si>
  <si>
    <t>TOTAL DE CUSTEIOS - MOTORISTAS</t>
  </si>
  <si>
    <t>SEGURO OBRIGATÓRIO</t>
  </si>
  <si>
    <t>(Veíc.)</t>
  </si>
  <si>
    <t>(R$/Anual)</t>
  </si>
  <si>
    <t>TOTAL CUSTEIROS PESSOAL DE OPERAÇÃO - R$/mês</t>
  </si>
  <si>
    <t>TOTAL CUSTEIROS PESSOAL DE OPERAÇÃO - R$/Anual</t>
  </si>
  <si>
    <t>TOTAL DE CUSTEIOS - MANUTENÇÃO</t>
  </si>
  <si>
    <t>TOTAL DE CUSTEIOS - ADMINISTAÇÃO</t>
  </si>
  <si>
    <t>(R$/Mês)</t>
  </si>
  <si>
    <t>TOTAL DE CUSTEIOS - SEG. OBRIG.</t>
  </si>
  <si>
    <t>TOTAL DE CUSTEIOS - SEG. RESP. CIVIL</t>
  </si>
  <si>
    <t>CUSTOS VARIÁVEIS VALORES</t>
  </si>
  <si>
    <t>(R$/ANUAL)</t>
  </si>
  <si>
    <t>CUSTOS FIXOS (PESSOAL)</t>
  </si>
  <si>
    <t>Custeios com Motoristas</t>
  </si>
  <si>
    <t>Custeios com Fiscalização</t>
  </si>
  <si>
    <t>Custeios com Cobrador</t>
  </si>
  <si>
    <t>Custeios com P. Manutenção</t>
  </si>
  <si>
    <t>Custeios com P. Administrativo</t>
  </si>
  <si>
    <t>total de Custos Fixos (Pessoal)</t>
  </si>
  <si>
    <t>(Passag./ANUAL)</t>
  </si>
  <si>
    <t>(km/ANUAL)</t>
  </si>
  <si>
    <t>QUILOMETRAGEM MENSAL TOTAL</t>
  </si>
  <si>
    <t>QUILOMETRAGEM ANUAL TOTAL</t>
  </si>
  <si>
    <t>Média Passageiros Equivalentes ANUAL</t>
  </si>
  <si>
    <t>Média Passageiros Equivalentes MENSAL</t>
  </si>
  <si>
    <t>QUILOMETRAGEM</t>
  </si>
  <si>
    <t>PASSAGEIROS</t>
  </si>
  <si>
    <t>PEÇAS E ACESSÓRIOS</t>
  </si>
  <si>
    <t>DESPESAS GERAIS</t>
  </si>
  <si>
    <t>Custeios com Benefícios</t>
  </si>
  <si>
    <t>5.4. - CÁLCULO DOS CUSTEIOS COM BENEFÍCIOS</t>
  </si>
  <si>
    <t>FATOR DE UTILIZAÇÃO MOTORISTA</t>
  </si>
  <si>
    <t>FATOR DE UTILIZAÇÃO FISCALIZAÇÃO</t>
  </si>
  <si>
    <t>FATOR DE UTILIZAÇÃO COBRADOR</t>
  </si>
  <si>
    <t>% PESSOAL DE MANUTENÇÃO</t>
  </si>
  <si>
    <t>% PESSOAL DE ADMINISTRATIVO</t>
  </si>
  <si>
    <t>TOTAL FUNCIONÁRIOS</t>
  </si>
  <si>
    <t>(Func./Mês)</t>
  </si>
  <si>
    <t>TOTAL DE CUSTEIOS - BENEFÍCIOS</t>
  </si>
  <si>
    <t>5.2. - CÁLCULO DOS CUSTEIOS COM PESSOAL DE MANUTENÇÃO</t>
  </si>
  <si>
    <t>5.3. - CÁLCULO DOS CUSTEIOS COM PESSOAL ADMINISTRATIVO</t>
  </si>
  <si>
    <t>TOTAL DE ENCARGOS SOCIAIS</t>
  </si>
  <si>
    <t>TOTAL DE CUSTEIOS - DESP. GERAIS</t>
  </si>
  <si>
    <t>% Sobre Pessoal de Operação</t>
  </si>
  <si>
    <t>Custeios Pessoal de Operação</t>
  </si>
  <si>
    <t>TOTAL DE CUSTEIOS - PRÓ-LABORE</t>
  </si>
  <si>
    <t>6.1. - CÁLCULO DOS CUSTEIOS COM SEGUROS</t>
  </si>
  <si>
    <t>6.1.1. - CÁLCULO DOS CUSTEIOS COM SEGURO OBRIGATÓRIO</t>
  </si>
  <si>
    <t>6.2. - CÁLCULO DAS DESPESAS GERAIS</t>
  </si>
  <si>
    <t>6.3. - CÁLCULO DOS CUSTEIOS COM PRÓ-LABORE</t>
  </si>
  <si>
    <t>6.4. - CÁLCULO DA REMUNERAÇÃO DO ALMOXARIFADO</t>
  </si>
  <si>
    <t>ABA</t>
  </si>
  <si>
    <t>ITEM</t>
  </si>
  <si>
    <t>TIPOLOGIA</t>
  </si>
  <si>
    <t>RESUMO DAS DEPRECIAÇÕES</t>
  </si>
  <si>
    <t>1.2.1 - PERCURSO MÉDIO MENSAL - PMM</t>
  </si>
  <si>
    <t>(R$/km)</t>
  </si>
  <si>
    <t>ESTE ESTUDO TÉCNICO CONTEM AS SEGUINTES ABAS E ITENS:</t>
  </si>
  <si>
    <t>4.3.2. - CUSTEIOS COM RECAPAGEM</t>
  </si>
  <si>
    <t>5.5. - RESUMO DA TOTALIZAÇÃO DOS CUSTOS FIXOS (PESSOAL)</t>
  </si>
  <si>
    <t>Cafe da Manhã (1/3)</t>
  </si>
  <si>
    <t>4.5. - TOTALIZAÇÃO DOS CUSTOS VARIÁVEIS</t>
  </si>
  <si>
    <t>6.1.2. - CÁLCULO DOS CUSTEIOS COM SEGURO RESPONSABILIDADE CIVIL</t>
  </si>
  <si>
    <t>7.2.2. - REVENDA DE VEÍCULOS DA FROTA</t>
  </si>
  <si>
    <t>7.2.3. - MOVIMENTAÇÃO DE VEÍCULOS DA FROTA (valores em Reais - R$)</t>
  </si>
  <si>
    <t>7.2.3.4 - TOTALIZAÇÃO DE VEÍCULOS DA FROTA</t>
  </si>
  <si>
    <t>Encerramento</t>
  </si>
  <si>
    <t>DEMONSTRATIVO DO RESULTADO ECONÔMICO - DRE</t>
  </si>
  <si>
    <t>Previsão de Passageiros Equivalentes Totais</t>
  </si>
  <si>
    <t>Tarifa (R$)</t>
  </si>
  <si>
    <t>Receita de Arrecadação dos Passageiros</t>
  </si>
  <si>
    <t>(+) Receita Bruta Total</t>
  </si>
  <si>
    <t>INSS sobre a Receita Bruta</t>
  </si>
  <si>
    <t>ISS sobre a Receita Bruta</t>
  </si>
  <si>
    <t>(-) Soma das Deduções da Receita Bruta</t>
  </si>
  <si>
    <t>(=) Receita Líquida</t>
  </si>
  <si>
    <t>(=) CUSTOS</t>
  </si>
  <si>
    <t>(-) Custos Variáveis</t>
  </si>
  <si>
    <t>(-) Custos Fixos</t>
  </si>
  <si>
    <t>Custos administrativos</t>
  </si>
  <si>
    <t>EBITDA (% sobre a Receita Líquida)</t>
  </si>
  <si>
    <t>DEPRECIAÇÃO CONTÁBIL</t>
  </si>
  <si>
    <t>(-) Depreciação da Frota, Equipamentos e
Sistema Tecnológicos</t>
  </si>
  <si>
    <t>(=) EBIT - Lucros antes de Juros e Impostos de Renda</t>
  </si>
  <si>
    <t>EBIT - Compensações (Base de Cálculo IR e CSLL)</t>
  </si>
  <si>
    <t>Prejuizo Fiscal</t>
  </si>
  <si>
    <t>(-) IMPOSTOS</t>
  </si>
  <si>
    <t>Contribuição Social</t>
  </si>
  <si>
    <t>Imposto de Renda (15% s/Lucro Real)</t>
  </si>
  <si>
    <t>Imposto de Renda (10% s/Lucro Real)</t>
  </si>
  <si>
    <t>(=) RESULTADO LÍQUIDO</t>
  </si>
  <si>
    <t>FLUXO DE CAIXA DO EMPREENDIMENTO</t>
  </si>
  <si>
    <t>Aquisição de Veículos Inicial (R$)</t>
  </si>
  <si>
    <t>Aquisição de Veículos ao Longo da Concessão (R$)</t>
  </si>
  <si>
    <t>Investimento em veículos de Apoio (R$)</t>
  </si>
  <si>
    <t>(+) Receita da Venda de Veículos</t>
  </si>
  <si>
    <t>FLUXO DE CAIXA LIVRE</t>
  </si>
  <si>
    <t>FLUXO DE CAIXA ACUMULADO</t>
  </si>
  <si>
    <t>FLUXO DE CAIXA LIVRE EM VALORES DESCONTADOS</t>
  </si>
  <si>
    <t>FLUXO DE CAIXA LIVRE EM VALORES DESCONTADOS ACUMULADOS</t>
  </si>
  <si>
    <t>FIGURAS DE MÉRITO:</t>
  </si>
  <si>
    <t>Percentual de Tributação</t>
  </si>
  <si>
    <t xml:space="preserve">    - PIS</t>
  </si>
  <si>
    <t xml:space="preserve">    - COFINS</t>
  </si>
  <si>
    <t xml:space="preserve">    - INSS</t>
  </si>
  <si>
    <t xml:space="preserve">    - Total Tributação sobre o faturamento</t>
  </si>
  <si>
    <t>Percentual de Impostos</t>
  </si>
  <si>
    <t>PIS e COFINS</t>
  </si>
  <si>
    <t>Custo com Pessoal</t>
  </si>
  <si>
    <t>Custeios com Seguro Obrigatório</t>
  </si>
  <si>
    <t>Custeios com Seguro Resp. Civil</t>
  </si>
  <si>
    <t>Custeios com Despesas Gerais</t>
  </si>
  <si>
    <t>Custeios com Pró-Labore</t>
  </si>
  <si>
    <t>Pré-Oper.</t>
  </si>
  <si>
    <t>Custeios com Remun. Almoxarifado</t>
  </si>
  <si>
    <t>Custos Variáveis</t>
  </si>
  <si>
    <t>Custos Fixos</t>
  </si>
  <si>
    <t>Custos Fixos Pessoal (mâo de obra e beneficios)</t>
  </si>
  <si>
    <t>Custos Fixos Administrativos</t>
  </si>
  <si>
    <t>Custos Fixos Capital</t>
  </si>
  <si>
    <t>2. - COEFICIENTES DE CONSUMOS E PARÂMETROS ADOTADOS</t>
  </si>
  <si>
    <t>2.1. - COEFICIENTES DE CONSUMO DE COMBUSTÍVEIS</t>
  </si>
  <si>
    <t>2.2. - COEFICIENTE DE CONSUMO DE LUBRIFICANTES</t>
  </si>
  <si>
    <t>2.3. - PARÂMETROS DE MATERIAL DE RODAGEM</t>
  </si>
  <si>
    <t>2.3.1. - VIDA ÚTIL DE PNEU</t>
  </si>
  <si>
    <t>2.3.2. - NÚMERO DE PNEU POR JOGOS</t>
  </si>
  <si>
    <t>2.3.3. - NÚMERO DE RECAPAGEM</t>
  </si>
  <si>
    <t>2.4. - COEFICIENTE PEÇAS E ACESSÓRIOS</t>
  </si>
  <si>
    <t>2.5. - CAPITAL INVESTIDO EM VEÍCULOS</t>
  </si>
  <si>
    <t>2.5.2. - VALOR RESIDUAL DE VEÍCULOS DA FROTA</t>
  </si>
  <si>
    <t>2.6. - FATOR DE UTILIZAÇÃO, PARÂMETROS, QUANTITATIVO DE BENEFÍCIOS E ENCARGOS SOCIAIS</t>
  </si>
  <si>
    <t>2.6.1. - FATOR DE UTILIZAÇÃO DO PESSOAL DE OPERAÇÃO</t>
  </si>
  <si>
    <t>3. - PREÇOS DE INSUMOS, SALÁRIOS E BENEFÍCIOS</t>
  </si>
  <si>
    <t>3.1. - PREÇOS DE COMBUSTÍVEIS</t>
  </si>
  <si>
    <t>3.2. - PREÇO DE LUBRIFICANTES</t>
  </si>
  <si>
    <t>3.3. - PREÇOS DE MATERIAL DE RODAGEM</t>
  </si>
  <si>
    <t>3.3.1. - PREÇOS DE PNEU NOVO</t>
  </si>
  <si>
    <t>3.3.2. - PREÇOS DE RECAPAGEM</t>
  </si>
  <si>
    <t>3.4. - PREÇOS DE VEÍCULOS</t>
  </si>
  <si>
    <t>3.5. - PEÇAS E ACESSÓRIOS</t>
  </si>
  <si>
    <t>3.6.2. - SEGURO DE RESPONSABILIDADE CIVIL</t>
  </si>
  <si>
    <t>3.7. - SALÁRIOS E BENEFÍCIOS</t>
  </si>
  <si>
    <t>3.7.1. - SALÁRIOS BASE</t>
  </si>
  <si>
    <t>3.7.2. - BENEFÍCIOS</t>
  </si>
  <si>
    <t>(Passag./Ano)</t>
  </si>
  <si>
    <t>(R$)</t>
  </si>
  <si>
    <t>Depreciação (Contábil)</t>
  </si>
  <si>
    <t>2.1.1. - COEFICIENTES DE CONSUMO DE ÓLEO DIESEL</t>
  </si>
  <si>
    <t>2.1.2. - COEFICIENTES DE CONSUMO DE ARLA32</t>
  </si>
  <si>
    <t>PRÓ-LABORE</t>
  </si>
  <si>
    <t>ALMOXARIFADO</t>
  </si>
  <si>
    <t>% Desp. Gerais sobre preço Veículo Leve Novo Completo</t>
  </si>
  <si>
    <t>% sobre preço Veículo Leve Novo Completo</t>
  </si>
  <si>
    <t>SEGURO RESP. CIVIL</t>
  </si>
  <si>
    <t>A</t>
  </si>
  <si>
    <t>B</t>
  </si>
  <si>
    <t>C</t>
  </si>
  <si>
    <t>N</t>
  </si>
  <si>
    <t>R</t>
  </si>
  <si>
    <t>T = Mínimo (30% de S; U anterior)</t>
  </si>
  <si>
    <t>U = S - T</t>
  </si>
  <si>
    <t>V = T + U anterior</t>
  </si>
  <si>
    <t>W = W1 + w2 + w3</t>
  </si>
  <si>
    <t>W1 = 9% x S(Se U&gt;0)</t>
  </si>
  <si>
    <t>w2 = 15% x S(Se U&gt;0)</t>
  </si>
  <si>
    <t>W3 = 10% x (S-240.000), Se U&gt;0</t>
  </si>
  <si>
    <t>X= S - W</t>
  </si>
  <si>
    <t>Y=X</t>
  </si>
  <si>
    <t>Z</t>
  </si>
  <si>
    <t>AA = Y+Z</t>
  </si>
  <si>
    <t>AB = AC + AD + AE</t>
  </si>
  <si>
    <t>AC</t>
  </si>
  <si>
    <t>AD</t>
  </si>
  <si>
    <t>AG</t>
  </si>
  <si>
    <t>AI</t>
  </si>
  <si>
    <t>AH = AI</t>
  </si>
  <si>
    <t>AJ = AB + AH</t>
  </si>
  <si>
    <t>MICROÔNIBUS</t>
  </si>
  <si>
    <t>D = B x C</t>
  </si>
  <si>
    <t>E</t>
  </si>
  <si>
    <t>F=E+D</t>
  </si>
  <si>
    <t>(+) Receitas Acessórias</t>
  </si>
  <si>
    <t>G = % x F</t>
  </si>
  <si>
    <t>H = % x F</t>
  </si>
  <si>
    <t>I = % x F</t>
  </si>
  <si>
    <t>J = G + H + I</t>
  </si>
  <si>
    <t>(+) RECEITA</t>
  </si>
  <si>
    <t>K = F - J</t>
  </si>
  <si>
    <t>L = M + N</t>
  </si>
  <si>
    <t>M</t>
  </si>
  <si>
    <t>O = K - L</t>
  </si>
  <si>
    <t>P = O / K</t>
  </si>
  <si>
    <t>Q = R</t>
  </si>
  <si>
    <t>S = P - R</t>
  </si>
  <si>
    <t>(-) Compensações</t>
  </si>
  <si>
    <t>% sobre preço Veículo Novo Completo</t>
  </si>
  <si>
    <t>Custeios com Sist. Bilhetagem Eletrônica, Câmera Monitoramento e ITS</t>
  </si>
  <si>
    <t>(=) RESULTADO LÍQUIDO (a)</t>
  </si>
  <si>
    <t>VALORES NÃO DESEMBOLSADOS (b)</t>
  </si>
  <si>
    <t>(-) INVESTIMENTOS (c)</t>
  </si>
  <si>
    <t>(+) INGRESSO DE RECURSOS (d)</t>
  </si>
  <si>
    <t>FLUXO DE CAIXA DO INVESTIMENTO (c + d)</t>
  </si>
  <si>
    <t>FLUXO DE CAIXA OPERACIONAL (a + b)</t>
  </si>
  <si>
    <t>LOCAÇÃO DE GARAGEM</t>
  </si>
  <si>
    <t>ALUGUEL DE GARAGEM</t>
  </si>
  <si>
    <t>Custeios com Sist. Bilhetagem Eletrônica, ITS, Câmera e Monitoramento</t>
  </si>
  <si>
    <t>Locação de Garagem - Aluguel</t>
  </si>
  <si>
    <t>Locação de Garagem</t>
  </si>
  <si>
    <t>Valor Mensal</t>
  </si>
  <si>
    <t>SECRETARIA MUNICIPAL DE DESENVOLVIMENTO URBANO</t>
  </si>
  <si>
    <t>EBITDA - Lucros antes de Juros, Impostos Depreciação e Amortização</t>
  </si>
  <si>
    <t>Valor Total Mensal</t>
  </si>
  <si>
    <t>Valor Mensal por Veículo</t>
  </si>
  <si>
    <t>Frota Total</t>
  </si>
  <si>
    <t>Linha de cálculo do Payback Simples</t>
  </si>
  <si>
    <t>6.6. - CÁLCULO DE LOCAÇÃO DE GARAGEM</t>
  </si>
  <si>
    <t>6.5. - CÁLCULO PARA MANUTENÇÃO DOS CUSTEIOS DO SISTEMA DE BILHETAGEM ELETRÔNICA, ITS, CÂMERAS E MONITORAMENTO</t>
  </si>
  <si>
    <t>3.6. - SEGUROS</t>
  </si>
  <si>
    <t>ELEMENTO</t>
  </si>
  <si>
    <t>LEGENDAS</t>
  </si>
  <si>
    <t>Campos NA COR AMARELA deverão ser Prenchidos (Entrada de dados)</t>
  </si>
  <si>
    <t>CAMPOS A SEREM PREENCHIDOS NESTE ARQUIVO</t>
  </si>
  <si>
    <t>Veículo por mês</t>
  </si>
  <si>
    <t>Quilômetargem Mensal</t>
  </si>
  <si>
    <t>Quilômetargem Anual</t>
  </si>
  <si>
    <t>Passageiro Mensal</t>
  </si>
  <si>
    <t>(ℓ/km.)</t>
  </si>
  <si>
    <t>Litro por Quilômetro</t>
  </si>
  <si>
    <t xml:space="preserve">Coeficiente Percentual Mensal </t>
  </si>
  <si>
    <t>Quilômetargem Mensal por Pneu</t>
  </si>
  <si>
    <t>(km/Mês/pneu)</t>
  </si>
  <si>
    <t>Unidade por jogos de Pneu</t>
  </si>
  <si>
    <t>Coeficiente Percentual por Veículo</t>
  </si>
  <si>
    <t>Funcionário por Veículo Operacional</t>
  </si>
  <si>
    <t>Coeficiente Percentual sobre Pessoal de Operação</t>
  </si>
  <si>
    <t>(Ticket/Mês)</t>
  </si>
  <si>
    <t>(Un./Mês)</t>
  </si>
  <si>
    <t>FATOR DE UTILIZAÇÃO PARA CÁLCULO DOS CUSTEIOS COM BENEFICIOS</t>
  </si>
  <si>
    <t>Unidade Mensal</t>
  </si>
  <si>
    <t>Quantitativo de Ticket por Mês</t>
  </si>
  <si>
    <t>Valor em Reais por Litro</t>
  </si>
  <si>
    <t>Valor em Reais por Unidade</t>
  </si>
  <si>
    <t>Valor em Reais por Veículo</t>
  </si>
  <si>
    <t>Valor em Reais por Quilômetro</t>
  </si>
  <si>
    <t>Valor em Reais por Veículo Ano</t>
  </si>
  <si>
    <t>Valor em Reais por Funciónario por Mês</t>
  </si>
  <si>
    <t>(R$/Dia/Func.)</t>
  </si>
  <si>
    <t>Valor em Reais Diário por Funciónario</t>
  </si>
  <si>
    <t>Valor em Reais por Mês</t>
  </si>
  <si>
    <t>Valor em Reais por Ano</t>
  </si>
  <si>
    <t>Veículo Operacional por Mês</t>
  </si>
  <si>
    <t>(Veíc. Op./mês)</t>
  </si>
  <si>
    <t>7.2.1. - INVESTIMENTOS EM VEÍCULOS DA FROTA (valores em Reais - R$)</t>
  </si>
  <si>
    <t>7.2.2. - REVENDA DE VEÍCULOS DA FROTA (valores em Reais - R$)</t>
  </si>
  <si>
    <t>6. - CÁLCULO DOS CUSTOS ADMINISTRATIVOS</t>
  </si>
  <si>
    <t>4. - CÁLCULO DOS CUSTOS VARIÁVEIS</t>
  </si>
  <si>
    <t>5. - CÁLCULO DOS CUSTOS FIXOS (COM PESSOAL)</t>
  </si>
  <si>
    <t>6.7. - RESUMO DA TOTALIZAÇÃO DOS CUSTEIOS ADMINISTRATIVOS</t>
  </si>
  <si>
    <t>2.6.2. - FATOR DE UTILIZAÇÃO DO PESSOAL DE OPERAÇÃO (FÍSICO) PARA CÁLCULOS DOS BENEFÍCIOS</t>
  </si>
  <si>
    <t>2.6.3. - PARÂMETRO PESSOAL DE MANUTEÇÃO</t>
  </si>
  <si>
    <t>2.6.4. - PARÂMETRO PESSOAL DE ADMINISTRATIVO</t>
  </si>
  <si>
    <t>2.6.5. - QUANTITATIVO DE BENEFÍCIOS</t>
  </si>
  <si>
    <t>2.7. - TOTAL DE ENCARGOS SOCIAIS</t>
  </si>
  <si>
    <t>2.8. - DESPESAS ADMINISTRATIVAS</t>
  </si>
  <si>
    <t>2.8.1 - DESPESAS GERAIS</t>
  </si>
  <si>
    <t>2.8.2 - CUSTEIOS COM PRÓ-LABORE</t>
  </si>
  <si>
    <t>2.8.3 - REMUNERAÇÃO DO ALMOXARIFADO</t>
  </si>
  <si>
    <t>8.4. - RESUMO DAS DEPRECIAÇÕES DE VEÍCULOS (CONTÁBIL)</t>
  </si>
  <si>
    <t>9. - DETALHAMENTO DOS ENCARGOS SOCIAIS</t>
  </si>
  <si>
    <t>10. - TRIBUTAÇÃO e IMPOSTOS</t>
  </si>
  <si>
    <t>10.2 - IMPOSTOS</t>
  </si>
  <si>
    <t>11. - RECEITAS ACESSÓRIAS</t>
  </si>
  <si>
    <t>12. - FLUXO DE CAIXA DE INVESTIMENTO</t>
  </si>
  <si>
    <t>13. - ANEXO DE REFERÊNCIAS DE LIMITES MÍNIMOS E MÁXIMOS</t>
  </si>
  <si>
    <t>13. REFERÊNCIAS</t>
  </si>
  <si>
    <t>12. FLUXO DE CAIXA</t>
  </si>
  <si>
    <t>11. RECEITAS ACESSÓRIAS</t>
  </si>
  <si>
    <t>10. TRIBUTAÇÃO E IMPOSTOS</t>
  </si>
  <si>
    <t>9. ENCARGOS SOCIAIS</t>
  </si>
  <si>
    <t>8. DEPRECIAÇÃO FROTA</t>
  </si>
  <si>
    <t>7. INVESTIMENTO FROTA</t>
  </si>
  <si>
    <t>6. CUSTOS ADMINISTRATIVOS</t>
  </si>
  <si>
    <t>5. CUSTOS FIXOS (PESSOAL)</t>
  </si>
  <si>
    <t>4. CUSTOS VARIÁVEIS</t>
  </si>
  <si>
    <t>3. PREÇOS INSUMOS</t>
  </si>
  <si>
    <t>2. COEFICIENTES</t>
  </si>
  <si>
    <t>1. DADOS OPERACIONAIS</t>
  </si>
  <si>
    <t>10.1 - TRIBUTAÇÃO INCIDENTE SOBRE FATURAMENTO</t>
  </si>
  <si>
    <t>CUSTEIOS DE BENEFÍCIOS</t>
  </si>
  <si>
    <t>VIDA ÚTIL PNEU</t>
  </si>
  <si>
    <t>NÚMERO DE PNEUS POR JOGOS</t>
  </si>
  <si>
    <t>NÚMERO DE RECAPAGEM</t>
  </si>
  <si>
    <t>VALOR RESIDUAL</t>
  </si>
  <si>
    <t>VIDA ÚTIL VEÍCULO DA FROTA</t>
  </si>
  <si>
    <t>GRÁFICO - IDADE MÉDIA</t>
  </si>
  <si>
    <t>GRÁFICO COMPARATIVO DE IDADE MÉDIA DA FROTA</t>
  </si>
  <si>
    <t>TAXA INTERNA DE RETORNO (ANUAL)     %/Ano</t>
  </si>
  <si>
    <t>VALOR PRESENTE LÍQUIDO (VPL)               R$</t>
  </si>
  <si>
    <t>TAXA DE DESCONTO (ANUAL)                     %/Ano</t>
  </si>
  <si>
    <t>(-) Imposto sobre Receita da Venda de Veículos</t>
  </si>
  <si>
    <t>SEGURO DE RESPONSABILIDADE CIVIL</t>
  </si>
  <si>
    <t>SBE, ITS, CÂMERAS E MONITORAMENTO</t>
  </si>
  <si>
    <t>CUSTEIOS ADMINISTRATIVOS</t>
  </si>
  <si>
    <t>PREÇO SISTEMA SBE - ITS, CÂMERAS E MONIT.</t>
  </si>
  <si>
    <t>TOTAL DE CUSTEIOS - ALMOXARIFADO</t>
  </si>
  <si>
    <t>TOTAL DE CUSTEIOS - SBE, ITS, CÂMERAS</t>
  </si>
  <si>
    <t>TOTAL DE CUSTEIOS - LOGAÇÃO DE GARAGEM</t>
  </si>
  <si>
    <t>Total de Custos Administrativos</t>
  </si>
  <si>
    <t>CONCORRÊNCIA Nº 003/18</t>
  </si>
  <si>
    <t>CAMPO A SER DIGITADO</t>
  </si>
  <si>
    <t xml:space="preserve">    - ISS</t>
  </si>
  <si>
    <t>7.2.1.1.1. - MICROÔNIBUS (sem preço de rodagem para cálculo da depreciação)</t>
  </si>
  <si>
    <t>7.2.1.2.1. - CONVENCIONAL (sem preço de rodagem para cálculo da depreciação)</t>
  </si>
  <si>
    <t>Salário Base Motorista</t>
  </si>
  <si>
    <t>Salário Médio de P. de Fiscalização</t>
  </si>
  <si>
    <t>Salário Base Cobrador</t>
  </si>
  <si>
    <t>2.5.1. - VIDA ECONOMICAMENTE ÚTIL DE VEÍCULOS DA FROTA</t>
  </si>
  <si>
    <t>7.2. - AQUISIÇÃO, REVENDA E MOVIMENTAÇÃO DA FROTA (INVESTIMENTO VALORES EM REAIS - R$)</t>
  </si>
  <si>
    <t>3.4.1. - PREÇO DE VEÍCULO NOVO COMPLETO COM RODAGEM</t>
  </si>
  <si>
    <t>3.4.2. - PREÇO DE VEÍCULO NOVO COMPLETO SEM RODAGEM</t>
  </si>
  <si>
    <t>3.8. - SISTEMA DE BILHETAGEM ELETRÔNICA, ITS E CÂMERAS E MONITORAMENTO</t>
  </si>
  <si>
    <t>3.9. - LOCAÇÃO DE GARAGEM</t>
  </si>
  <si>
    <t>ANEXO IV.1 - ESTUDO TÉCNICO DE VIABILIDADE ECONÔMICA - ORÇAMENTO ESTIMADO</t>
  </si>
  <si>
    <t>FÓRMULA PARAMÉTRICA DE REAJUSTE ANUAL DE PREÇOS DE INSUMOS E SALÁRIOS</t>
  </si>
  <si>
    <t>Itens Fórmula de Reajustes</t>
  </si>
  <si>
    <t>Peso %</t>
  </si>
  <si>
    <t>Custos com Pessoal:</t>
  </si>
  <si>
    <t>Custos com Combustíveis, Lubrificantes e Arla32 :</t>
  </si>
  <si>
    <t>Custos com Material de Rodagem:</t>
  </si>
  <si>
    <t>Custos de Depreciação Capital Imobilizados:</t>
  </si>
  <si>
    <t>Custos Adm., Operacionais e Peças e Acessórios:</t>
  </si>
  <si>
    <t>Totalização</t>
  </si>
  <si>
    <t>Onde:</t>
  </si>
  <si>
    <t>Índice de reajuste a aplicar entre os períodos considerados;</t>
  </si>
  <si>
    <t>Variação dos “Índices de preços ao produtor amplo - Origem (IPA-OG) - Industria de transformação - Artigos de Borracha e de Material de Plásticos (coluna 28)/FGV;</t>
  </si>
  <si>
    <t xml:space="preserve">Variação dos “Índices Preços amplo - Origem (IPA-OG) - produtos industriais - Industria de transformação - Veículos automotores, reboques, carrocerias e autopeças (coluna 36)/FGV; </t>
  </si>
  <si>
    <t>Índice acumulado do IPC do IGP-DI/FGV.</t>
  </si>
  <si>
    <t>Valores Reais</t>
  </si>
  <si>
    <t>Valores Anuais Médios</t>
  </si>
  <si>
    <t>Valores ao Longo da Concessão</t>
  </si>
  <si>
    <t>Valores Mensais Médios</t>
  </si>
  <si>
    <t>Mão de Obra</t>
  </si>
  <si>
    <t>Combustiveis</t>
  </si>
  <si>
    <t>Rodagem</t>
  </si>
  <si>
    <t>Capital Frota</t>
  </si>
  <si>
    <t>Custos ADM e Peças e Ac.</t>
  </si>
  <si>
    <t>Variação do preço de óleo diesel S10 para grandes consumidores. Fonte: ANP – Agência Nacional do Petróleo, Gás Natural e Biocombustíveis;</t>
  </si>
  <si>
    <t>3.6.1. - SEGURO OBRIGATÓRIO + LICENCIAMENTO</t>
  </si>
  <si>
    <t>Média Passageiros Transportados Pagantes *</t>
  </si>
  <si>
    <t>* - Pagantes + Comum + Vale Transporte</t>
  </si>
  <si>
    <t>DATA BASE DE CÁLCULO: MARÇO 2020</t>
  </si>
  <si>
    <t>-</t>
  </si>
  <si>
    <t xml:space="preserve">Variação do valor do salário base do motorista, com base no Acordo Coletivo do Sindicato da Categoria (base Amparo) </t>
  </si>
  <si>
    <t>TARIFA  - LIMITE MÁXIMO</t>
  </si>
  <si>
    <t>Pesos Fórmula Paramétrica (%)                       R=</t>
  </si>
  <si>
    <t>Vs</t>
  </si>
  <si>
    <t>Vd</t>
  </si>
  <si>
    <t>Vr</t>
  </si>
  <si>
    <t>Vv</t>
  </si>
  <si>
    <t>Va</t>
  </si>
  <si>
    <t>Ps x Vs</t>
  </si>
  <si>
    <t>Pd x Vd</t>
  </si>
  <si>
    <t>Pr x Vr</t>
  </si>
  <si>
    <t>Pv x Vv</t>
  </si>
  <si>
    <t>Pa x Va</t>
  </si>
  <si>
    <t>7.2.1.3.1. - - (sem preço de rodagem para cálculo da depreciação)</t>
  </si>
  <si>
    <t>Coeficiente Anual sobre preço de Veículo Novo ponderado</t>
  </si>
  <si>
    <t>% sobre preço Veículo Novo Ponderado Completo</t>
  </si>
  <si>
    <t>(R$/Veíc/mês)</t>
  </si>
  <si>
    <t xml:space="preserve">REAJUSTE - FÓRMULA </t>
  </si>
  <si>
    <t>ORÇAMENTO BÁSICO E FÓRMULA PARAMÉTRICA</t>
  </si>
  <si>
    <t>ESTUDO TÉCNICO DE VIABILIDADE ECONÔMICA DA OPERAÇÃO DO SERVIÇO DE TRANSPORTE COLETIVO DA CIDADE DE AMPARO</t>
  </si>
  <si>
    <t xml:space="preserve">(Orçamento Básico </t>
  </si>
  <si>
    <t>Tarifa</t>
  </si>
  <si>
    <t>TARIFA DO ESTUDO</t>
  </si>
</sst>
</file>

<file path=xl/styles.xml><?xml version="1.0" encoding="utf-8"?>
<styleSheet xmlns="http://schemas.openxmlformats.org/spreadsheetml/2006/main">
  <numFmts count="19">
    <numFmt numFmtId="8" formatCode="&quot;R$&quot;\ #,##0.00;[Red]\-&quot;R$&quot;\ #,##0.00"/>
    <numFmt numFmtId="43" formatCode="_-* #,##0.00_-;\-* #,##0.00_-;_-* &quot;-&quot;??_-;_-@_-"/>
    <numFmt numFmtId="164" formatCode="&quot;Ano&quot;\ General"/>
    <numFmt numFmtId="165" formatCode="0.0000"/>
    <numFmt numFmtId="166" formatCode="#,##0.0000"/>
    <numFmt numFmtId="167" formatCode="&quot;TIPO&quot;\ General"/>
    <numFmt numFmtId="168" formatCode="&quot;R$&quot;\ #,##0.00"/>
    <numFmt numFmtId="169" formatCode="&quot;Ano &quot;0"/>
    <numFmt numFmtId="170" formatCode="#,##0.000"/>
    <numFmt numFmtId="171" formatCode="0.0%"/>
    <numFmt numFmtId="172" formatCode="#,##0_ ;[Red]\-#,##0\ "/>
    <numFmt numFmtId="173" formatCode="&quot;R$&quot;\ #,##0.000"/>
    <numFmt numFmtId="174" formatCode="#,##0.0"/>
    <numFmt numFmtId="175" formatCode="_(* #,##0.00_);_(* \(#,##0.00\);_(* &quot;-&quot;??_);_(@_)"/>
    <numFmt numFmtId="176" formatCode="0.0000&quot; x  Vs +&quot;"/>
    <numFmt numFmtId="177" formatCode="0.0000&quot; x  Vd +&quot;"/>
    <numFmt numFmtId="178" formatCode="0.0000&quot; x  Vr +&quot;"/>
    <numFmt numFmtId="179" formatCode="0.0000&quot; x  Vv +&quot;"/>
    <numFmt numFmtId="180" formatCode="0.0000&quot; x  Va&quot;"/>
  </numFmts>
  <fonts count="4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2"/>
      <name val="Calibri"/>
      <family val="2"/>
    </font>
    <font>
      <b/>
      <i/>
      <sz val="10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1"/>
      <color theme="1"/>
      <name val="Calibri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  <scheme val="minor"/>
    </font>
    <font>
      <sz val="8"/>
      <color theme="1"/>
      <name val="Calibri"/>
      <family val="2"/>
    </font>
    <font>
      <b/>
      <sz val="11"/>
      <color theme="1"/>
      <name val="Arial"/>
      <family val="2"/>
    </font>
    <font>
      <sz val="11"/>
      <color rgb="FF222222"/>
      <name val="Arial"/>
      <family val="2"/>
    </font>
    <font>
      <b/>
      <sz val="14"/>
      <color theme="0"/>
      <name val="Calibri"/>
      <family val="2"/>
      <scheme val="minor"/>
    </font>
    <font>
      <b/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99"/>
        <bgColor indexed="64"/>
      </patternFill>
    </fill>
  </fills>
  <borders count="2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indexed="64"/>
      </top>
      <bottom style="thin">
        <color indexed="64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indexed="64"/>
      </top>
      <bottom style="thin">
        <color indexed="64"/>
      </bottom>
      <diagonal/>
    </border>
    <border>
      <left style="hair">
        <color theme="1" tint="0.34998626667073579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indexed="64"/>
      </left>
      <right/>
      <top style="hair">
        <color theme="1" tint="0.34998626667073579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theme="1" tint="0.34998626667073579"/>
      </top>
      <bottom/>
      <diagonal/>
    </border>
    <border>
      <left/>
      <right style="hair">
        <color indexed="64"/>
      </right>
      <top style="thin">
        <color indexed="64"/>
      </top>
      <bottom style="hair">
        <color theme="1" tint="0.34998626667073579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theme="1"/>
      </top>
      <bottom/>
      <diagonal/>
    </border>
    <border>
      <left/>
      <right style="dotted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23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indexed="23"/>
      </left>
      <right style="thin">
        <color indexed="23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indexed="23"/>
      </left>
      <right/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/>
      <bottom style="thin">
        <color indexed="64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 style="thin">
        <color indexed="64"/>
      </right>
      <top style="hair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theme="1" tint="0.34998626667073579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theme="1" tint="0.34998626667073579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indexed="64"/>
      </top>
      <bottom style="hair">
        <color theme="1" tint="0.34998626667073579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theme="1" tint="0.34998626667073579"/>
      </bottom>
      <diagonal/>
    </border>
    <border>
      <left/>
      <right style="hair">
        <color indexed="64"/>
      </right>
      <top style="hair">
        <color indexed="64"/>
      </top>
      <bottom style="hair">
        <color theme="1" tint="0.34998626667073579"/>
      </bottom>
      <diagonal/>
    </border>
    <border>
      <left style="thin">
        <color indexed="64"/>
      </left>
      <right style="thin">
        <color indexed="64"/>
      </right>
      <top style="hair">
        <color theme="1" tint="0.34998626667073579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hair">
        <color indexed="64"/>
      </right>
      <top style="medium">
        <color theme="1"/>
      </top>
      <bottom style="medium">
        <color theme="1"/>
      </bottom>
      <diagonal/>
    </border>
    <border>
      <left style="hair">
        <color indexed="64"/>
      </left>
      <right/>
      <top style="medium">
        <color theme="1"/>
      </top>
      <bottom style="medium">
        <color theme="1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thin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medium">
        <color theme="1"/>
      </top>
      <bottom style="hair">
        <color indexed="23"/>
      </bottom>
      <diagonal/>
    </border>
    <border>
      <left/>
      <right style="thin">
        <color indexed="23"/>
      </right>
      <top style="medium">
        <color theme="1"/>
      </top>
      <bottom style="hair">
        <color indexed="23"/>
      </bottom>
      <diagonal/>
    </border>
    <border>
      <left style="thin">
        <color indexed="23"/>
      </left>
      <right/>
      <top style="medium">
        <color theme="1"/>
      </top>
      <bottom style="hair">
        <color indexed="23"/>
      </bottom>
      <diagonal/>
    </border>
    <border>
      <left style="thin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medium">
        <color theme="1"/>
      </bottom>
      <diagonal/>
    </border>
    <border>
      <left/>
      <right style="thin">
        <color indexed="23"/>
      </right>
      <top style="hair">
        <color indexed="23"/>
      </top>
      <bottom style="medium">
        <color theme="1"/>
      </bottom>
      <diagonal/>
    </border>
    <border>
      <left style="thin">
        <color indexed="23"/>
      </left>
      <right/>
      <top style="hair">
        <color indexed="23"/>
      </top>
      <bottom style="medium">
        <color theme="1"/>
      </bottom>
      <diagonal/>
    </border>
    <border>
      <left/>
      <right/>
      <top style="hair">
        <color indexed="23"/>
      </top>
      <bottom/>
      <diagonal/>
    </border>
    <border>
      <left/>
      <right style="thin">
        <color indexed="23"/>
      </right>
      <top style="hair">
        <color indexed="23"/>
      </top>
      <bottom/>
      <diagonal/>
    </border>
    <border>
      <left style="thin">
        <color indexed="23"/>
      </left>
      <right/>
      <top style="hair">
        <color indexed="23"/>
      </top>
      <bottom/>
      <diagonal/>
    </border>
    <border>
      <left/>
      <right style="thin">
        <color indexed="23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tted">
        <color theme="1"/>
      </left>
      <right style="dotted">
        <color theme="1"/>
      </right>
      <top style="medium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 style="thin">
        <color indexed="64"/>
      </top>
      <bottom style="medium">
        <color indexed="64"/>
      </bottom>
      <diagonal/>
    </border>
    <border>
      <left style="dotted">
        <color theme="1"/>
      </left>
      <right/>
      <top style="medium">
        <color theme="1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 style="dotted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tted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dotted">
        <color auto="1"/>
      </left>
      <right style="dotted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 style="hair">
        <color auto="1"/>
      </top>
      <bottom style="hair">
        <color auto="1"/>
      </bottom>
      <diagonal/>
    </border>
    <border>
      <left/>
      <right style="dotted">
        <color theme="1" tint="0.499984740745262"/>
      </right>
      <top style="medium">
        <color indexed="64"/>
      </top>
      <bottom style="medium">
        <color indexed="64"/>
      </bottom>
      <diagonal/>
    </border>
    <border>
      <left/>
      <right style="dotted">
        <color theme="1"/>
      </right>
      <top style="medium">
        <color theme="1"/>
      </top>
      <bottom/>
      <diagonal/>
    </border>
    <border>
      <left/>
      <right style="dotted">
        <color theme="1"/>
      </right>
      <top/>
      <bottom/>
      <diagonal/>
    </border>
    <border>
      <left/>
      <right style="dotted">
        <color theme="1"/>
      </right>
      <top/>
      <bottom style="medium">
        <color theme="1"/>
      </bottom>
      <diagonal/>
    </border>
    <border>
      <left style="dotted">
        <color theme="1"/>
      </left>
      <right style="dotted">
        <color theme="1"/>
      </right>
      <top/>
      <bottom style="medium">
        <color theme="1"/>
      </bottom>
      <diagonal/>
    </border>
    <border>
      <left style="dotted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theme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23"/>
      </right>
      <top style="medium">
        <color theme="1" tint="4.9989318521683403E-2"/>
      </top>
      <bottom style="dotted">
        <color theme="1" tint="4.9989318521683403E-2"/>
      </bottom>
      <diagonal/>
    </border>
    <border>
      <left style="thin">
        <color indexed="23"/>
      </left>
      <right style="thin">
        <color indexed="23"/>
      </right>
      <top style="medium">
        <color theme="1" tint="4.9989318521683403E-2"/>
      </top>
      <bottom style="dotted">
        <color theme="1" tint="4.9989318521683403E-2"/>
      </bottom>
      <diagonal/>
    </border>
    <border>
      <left style="thin">
        <color indexed="23"/>
      </left>
      <right/>
      <top style="medium">
        <color theme="1" tint="4.9989318521683403E-2"/>
      </top>
      <bottom style="dotted">
        <color theme="1" tint="4.9989318521683403E-2"/>
      </bottom>
      <diagonal/>
    </border>
    <border>
      <left/>
      <right style="thin">
        <color indexed="23"/>
      </right>
      <top style="dotted">
        <color theme="1" tint="4.9989318521683403E-2"/>
      </top>
      <bottom style="dotted">
        <color theme="1" tint="4.9989318521683403E-2"/>
      </bottom>
      <diagonal/>
    </border>
    <border>
      <left style="thin">
        <color indexed="23"/>
      </left>
      <right style="thin">
        <color indexed="23"/>
      </right>
      <top style="dotted">
        <color theme="1" tint="4.9989318521683403E-2"/>
      </top>
      <bottom style="dotted">
        <color theme="1" tint="4.9989318521683403E-2"/>
      </bottom>
      <diagonal/>
    </border>
    <border>
      <left style="thin">
        <color indexed="23"/>
      </left>
      <right/>
      <top style="dotted">
        <color theme="1" tint="4.9989318521683403E-2"/>
      </top>
      <bottom style="dotted">
        <color theme="1" tint="4.9989318521683403E-2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/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/>
      <right style="thin">
        <color indexed="23"/>
      </right>
      <top style="dotted">
        <color theme="1" tint="4.9989318521683403E-2"/>
      </top>
      <bottom/>
      <diagonal/>
    </border>
    <border>
      <left style="thin">
        <color indexed="23"/>
      </left>
      <right style="thin">
        <color indexed="23"/>
      </right>
      <top style="dotted">
        <color theme="1" tint="4.9989318521683403E-2"/>
      </top>
      <bottom/>
      <diagonal/>
    </border>
    <border>
      <left style="thin">
        <color indexed="23"/>
      </left>
      <right/>
      <top style="dotted">
        <color theme="1" tint="4.9989318521683403E-2"/>
      </top>
      <bottom/>
      <diagonal/>
    </border>
    <border>
      <left/>
      <right style="medium">
        <color theme="1"/>
      </right>
      <top style="medium">
        <color auto="1"/>
      </top>
      <bottom style="medium">
        <color auto="1"/>
      </bottom>
      <diagonal/>
    </border>
    <border>
      <left/>
      <right style="thin">
        <color indexed="23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/>
      <top style="medium">
        <color auto="1"/>
      </top>
      <bottom style="medium">
        <color auto="1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theme="1" tint="0.499984740745262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 tint="0.499984740745262"/>
      </right>
      <top style="thin">
        <color theme="1"/>
      </top>
      <bottom style="thin">
        <color theme="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/>
      </top>
      <bottom style="thin">
        <color theme="1"/>
      </bottom>
      <diagonal/>
    </border>
    <border>
      <left style="medium">
        <color theme="1" tint="0.499984740745262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dotted">
        <color theme="1" tint="0.499984740745262"/>
      </bottom>
      <diagonal/>
    </border>
    <border>
      <left/>
      <right style="thin">
        <color theme="1"/>
      </right>
      <top style="thin">
        <color theme="1"/>
      </top>
      <bottom style="dotted">
        <color theme="1" tint="0.499984740745262"/>
      </bottom>
      <diagonal/>
    </border>
    <border>
      <left style="thin">
        <color theme="1"/>
      </left>
      <right/>
      <top style="dotted">
        <color theme="1" tint="0.499984740745262"/>
      </top>
      <bottom style="dotted">
        <color theme="1" tint="0.499984740745262"/>
      </bottom>
      <diagonal/>
    </border>
    <border>
      <left/>
      <right style="thin">
        <color theme="1"/>
      </right>
      <top style="dotted">
        <color theme="1" tint="0.499984740745262"/>
      </top>
      <bottom style="dotted">
        <color theme="1" tint="0.499984740745262"/>
      </bottom>
      <diagonal/>
    </border>
    <border>
      <left style="thin">
        <color theme="1"/>
      </left>
      <right/>
      <top style="dotted">
        <color theme="1" tint="0.499984740745262"/>
      </top>
      <bottom/>
      <diagonal/>
    </border>
    <border>
      <left/>
      <right style="thin">
        <color theme="1"/>
      </right>
      <top style="dotted">
        <color theme="1" tint="0.499984740745262"/>
      </top>
      <bottom/>
      <diagonal/>
    </border>
    <border>
      <left style="thin">
        <color theme="1"/>
      </left>
      <right/>
      <top style="dotted">
        <color theme="1" tint="0.499984740745262"/>
      </top>
      <bottom style="thin">
        <color theme="1"/>
      </bottom>
      <diagonal/>
    </border>
    <border>
      <left/>
      <right style="thin">
        <color theme="1"/>
      </right>
      <top style="dotted">
        <color theme="1" tint="0.499984740745262"/>
      </top>
      <bottom style="thin">
        <color theme="1"/>
      </bottom>
      <diagonal/>
    </border>
    <border>
      <left/>
      <right/>
      <top style="thin">
        <color theme="1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thin">
        <color theme="1"/>
      </bottom>
      <diagonal/>
    </border>
    <border>
      <left/>
      <right style="hair">
        <color indexed="64"/>
      </right>
      <top style="hair">
        <color theme="1" tint="0.34998626667073579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 style="hair">
        <color indexed="64"/>
      </bottom>
      <diagonal/>
    </border>
  </borders>
  <cellStyleXfs count="15">
    <xf numFmtId="0" fontId="0" fillId="0" borderId="0"/>
    <xf numFmtId="9" fontId="8" fillId="0" borderId="0" applyFont="0" applyFill="0" applyBorder="0" applyAlignment="0" applyProtection="0"/>
    <xf numFmtId="0" fontId="23" fillId="0" borderId="0"/>
    <xf numFmtId="43" fontId="8" fillId="0" borderId="0" applyFont="0" applyFill="0" applyBorder="0" applyAlignment="0" applyProtection="0"/>
    <xf numFmtId="0" fontId="24" fillId="0" borderId="0"/>
    <xf numFmtId="0" fontId="25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8" fillId="0" borderId="0"/>
    <xf numFmtId="9" fontId="24" fillId="0" borderId="0" applyFont="0" applyFill="0" applyBorder="0" applyAlignment="0" applyProtection="0"/>
    <xf numFmtId="9" fontId="25" fillId="0" borderId="0" applyFont="0" applyFill="0" applyBorder="0" applyAlignment="0" applyProtection="0"/>
    <xf numFmtId="175" fontId="33" fillId="0" borderId="0" applyFont="0" applyFill="0" applyBorder="0" applyAlignment="0" applyProtection="0"/>
    <xf numFmtId="175" fontId="23" fillId="0" borderId="0" applyFont="0" applyFill="0" applyBorder="0" applyAlignment="0" applyProtection="0"/>
    <xf numFmtId="175" fontId="2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737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vertical="center"/>
    </xf>
    <xf numFmtId="166" fontId="1" fillId="0" borderId="3" xfId="0" applyNumberFormat="1" applyFont="1" applyBorder="1" applyAlignment="1">
      <alignment vertical="center"/>
    </xf>
    <xf numFmtId="166" fontId="1" fillId="0" borderId="5" xfId="0" applyNumberFormat="1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166" fontId="1" fillId="0" borderId="8" xfId="0" applyNumberFormat="1" applyFont="1" applyBorder="1" applyAlignment="1">
      <alignment vertical="center"/>
    </xf>
    <xf numFmtId="166" fontId="1" fillId="0" borderId="6" xfId="0" applyNumberFormat="1" applyFont="1" applyBorder="1" applyAlignment="1">
      <alignment vertical="center"/>
    </xf>
    <xf numFmtId="166" fontId="1" fillId="0" borderId="7" xfId="0" applyNumberFormat="1" applyFont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horizontal="right"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horizontal="right" vertical="center"/>
    </xf>
    <xf numFmtId="0" fontId="1" fillId="0" borderId="20" xfId="0" applyFont="1" applyBorder="1" applyAlignment="1">
      <alignment vertical="center"/>
    </xf>
    <xf numFmtId="0" fontId="1" fillId="0" borderId="21" xfId="0" applyFont="1" applyBorder="1" applyAlignment="1">
      <alignment horizontal="right" vertical="center"/>
    </xf>
    <xf numFmtId="0" fontId="2" fillId="2" borderId="23" xfId="0" applyFont="1" applyFill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horizontal="right" vertical="center"/>
    </xf>
    <xf numFmtId="165" fontId="1" fillId="0" borderId="30" xfId="0" applyNumberFormat="1" applyFont="1" applyBorder="1" applyAlignment="1">
      <alignment vertical="center"/>
    </xf>
    <xf numFmtId="165" fontId="1" fillId="0" borderId="31" xfId="0" applyNumberFormat="1" applyFont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vertical="center"/>
    </xf>
    <xf numFmtId="0" fontId="2" fillId="2" borderId="32" xfId="0" applyFont="1" applyFill="1" applyBorder="1" applyAlignment="1">
      <alignment horizontal="center" vertical="center"/>
    </xf>
    <xf numFmtId="167" fontId="1" fillId="0" borderId="32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29" xfId="0" applyFont="1" applyBorder="1" applyAlignment="1">
      <alignment vertical="center" wrapText="1"/>
    </xf>
    <xf numFmtId="3" fontId="2" fillId="2" borderId="24" xfId="0" applyNumberFormat="1" applyFont="1" applyFill="1" applyBorder="1" applyAlignment="1">
      <alignment horizontal="center" vertical="center"/>
    </xf>
    <xf numFmtId="3" fontId="2" fillId="2" borderId="25" xfId="0" applyNumberFormat="1" applyFont="1" applyFill="1" applyBorder="1" applyAlignment="1">
      <alignment horizontal="center" vertical="center"/>
    </xf>
    <xf numFmtId="3" fontId="1" fillId="0" borderId="21" xfId="0" applyNumberFormat="1" applyFont="1" applyBorder="1" applyAlignment="1">
      <alignment vertical="center"/>
    </xf>
    <xf numFmtId="3" fontId="1" fillId="0" borderId="22" xfId="0" applyNumberFormat="1" applyFont="1" applyBorder="1" applyAlignment="1">
      <alignment vertical="center"/>
    </xf>
    <xf numFmtId="3" fontId="1" fillId="0" borderId="30" xfId="0" applyNumberFormat="1" applyFont="1" applyBorder="1" applyAlignment="1">
      <alignment vertical="center"/>
    </xf>
    <xf numFmtId="3" fontId="1" fillId="0" borderId="31" xfId="0" applyNumberFormat="1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4" fontId="2" fillId="2" borderId="10" xfId="0" applyNumberFormat="1" applyFont="1" applyFill="1" applyBorder="1" applyAlignment="1">
      <alignment horizontal="center" vertical="center"/>
    </xf>
    <xf numFmtId="4" fontId="2" fillId="2" borderId="11" xfId="0" applyNumberFormat="1" applyFont="1" applyFill="1" applyBorder="1" applyAlignment="1">
      <alignment horizontal="center" vertical="center"/>
    </xf>
    <xf numFmtId="4" fontId="1" fillId="0" borderId="21" xfId="0" applyNumberFormat="1" applyFont="1" applyBorder="1" applyAlignment="1">
      <alignment vertical="center"/>
    </xf>
    <xf numFmtId="4" fontId="1" fillId="0" borderId="22" xfId="0" applyNumberFormat="1" applyFont="1" applyBorder="1" applyAlignment="1">
      <alignment vertical="center"/>
    </xf>
    <xf numFmtId="4" fontId="1" fillId="0" borderId="18" xfId="0" applyNumberFormat="1" applyFont="1" applyBorder="1" applyAlignment="1">
      <alignment vertical="center"/>
    </xf>
    <xf numFmtId="4" fontId="1" fillId="0" borderId="19" xfId="0" applyNumberFormat="1" applyFont="1" applyBorder="1" applyAlignment="1">
      <alignment vertical="center"/>
    </xf>
    <xf numFmtId="4" fontId="1" fillId="0" borderId="30" xfId="0" applyNumberFormat="1" applyFont="1" applyBorder="1" applyAlignment="1">
      <alignment vertical="center"/>
    </xf>
    <xf numFmtId="4" fontId="1" fillId="0" borderId="31" xfId="0" applyNumberFormat="1" applyFont="1" applyBorder="1" applyAlignment="1">
      <alignment vertical="center"/>
    </xf>
    <xf numFmtId="4" fontId="1" fillId="0" borderId="21" xfId="0" applyNumberFormat="1" applyFont="1" applyBorder="1" applyAlignment="1">
      <alignment horizontal="center" vertical="center"/>
    </xf>
    <xf numFmtId="4" fontId="1" fillId="0" borderId="22" xfId="0" applyNumberFormat="1" applyFont="1" applyBorder="1" applyAlignment="1">
      <alignment horizontal="center" vertic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19" xfId="0" applyNumberFormat="1" applyFont="1" applyBorder="1" applyAlignment="1">
      <alignment horizontal="center" vertical="center"/>
    </xf>
    <xf numFmtId="4" fontId="1" fillId="0" borderId="30" xfId="0" applyNumberFormat="1" applyFont="1" applyBorder="1" applyAlignment="1">
      <alignment horizontal="center" vertical="center"/>
    </xf>
    <xf numFmtId="4" fontId="1" fillId="0" borderId="31" xfId="0" applyNumberFormat="1" applyFont="1" applyBorder="1" applyAlignment="1">
      <alignment horizontal="center" vertical="center"/>
    </xf>
    <xf numFmtId="4" fontId="1" fillId="0" borderId="12" xfId="0" applyNumberFormat="1" applyFont="1" applyBorder="1" applyAlignment="1">
      <alignment vertical="center"/>
    </xf>
    <xf numFmtId="4" fontId="1" fillId="0" borderId="13" xfId="0" applyNumberFormat="1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3" fontId="1" fillId="0" borderId="18" xfId="0" applyNumberFormat="1" applyFont="1" applyBorder="1" applyAlignment="1">
      <alignment vertical="center"/>
    </xf>
    <xf numFmtId="3" fontId="1" fillId="0" borderId="19" xfId="0" applyNumberFormat="1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4" fontId="1" fillId="0" borderId="21" xfId="0" applyNumberFormat="1" applyFont="1" applyFill="1" applyBorder="1" applyAlignment="1">
      <alignment vertical="center"/>
    </xf>
    <xf numFmtId="4" fontId="1" fillId="0" borderId="22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3" fontId="1" fillId="0" borderId="21" xfId="0" applyNumberFormat="1" applyFont="1" applyBorder="1" applyAlignment="1">
      <alignment horizontal="center" vertical="center"/>
    </xf>
    <xf numFmtId="3" fontId="1" fillId="0" borderId="22" xfId="0" applyNumberFormat="1" applyFont="1" applyBorder="1" applyAlignment="1">
      <alignment horizontal="center" vertical="center"/>
    </xf>
    <xf numFmtId="3" fontId="1" fillId="0" borderId="18" xfId="0" applyNumberFormat="1" applyFont="1" applyBorder="1" applyAlignment="1">
      <alignment horizontal="center" vertical="center"/>
    </xf>
    <xf numFmtId="3" fontId="1" fillId="0" borderId="19" xfId="0" applyNumberFormat="1" applyFont="1" applyBorder="1" applyAlignment="1">
      <alignment horizontal="center" vertical="center"/>
    </xf>
    <xf numFmtId="3" fontId="1" fillId="0" borderId="30" xfId="0" applyNumberFormat="1" applyFont="1" applyBorder="1" applyAlignment="1">
      <alignment horizontal="center" vertical="center"/>
    </xf>
    <xf numFmtId="3" fontId="1" fillId="0" borderId="31" xfId="0" applyNumberFormat="1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10" fontId="1" fillId="0" borderId="21" xfId="0" applyNumberFormat="1" applyFont="1" applyBorder="1" applyAlignment="1">
      <alignment horizontal="center" vertical="center"/>
    </xf>
    <xf numFmtId="10" fontId="1" fillId="0" borderId="1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0" fontId="1" fillId="0" borderId="22" xfId="0" applyNumberFormat="1" applyFon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165" fontId="1" fillId="0" borderId="15" xfId="0" applyNumberFormat="1" applyFont="1" applyBorder="1" applyAlignment="1">
      <alignment horizontal="center" vertical="center"/>
    </xf>
    <xf numFmtId="165" fontId="1" fillId="0" borderId="16" xfId="0" applyNumberFormat="1" applyFont="1" applyBorder="1" applyAlignment="1">
      <alignment horizontal="center" vertical="center"/>
    </xf>
    <xf numFmtId="166" fontId="1" fillId="0" borderId="21" xfId="0" applyNumberFormat="1" applyFont="1" applyBorder="1" applyAlignment="1">
      <alignment horizontal="center" vertical="center"/>
    </xf>
    <xf numFmtId="166" fontId="1" fillId="0" borderId="22" xfId="0" applyNumberFormat="1" applyFont="1" applyBorder="1" applyAlignment="1">
      <alignment horizontal="center" vertical="center"/>
    </xf>
    <xf numFmtId="166" fontId="1" fillId="0" borderId="18" xfId="0" applyNumberFormat="1" applyFont="1" applyBorder="1" applyAlignment="1">
      <alignment horizontal="center" vertical="center"/>
    </xf>
    <xf numFmtId="166" fontId="1" fillId="0" borderId="19" xfId="0" applyNumberFormat="1" applyFont="1" applyBorder="1" applyAlignment="1">
      <alignment horizontal="center" vertical="center"/>
    </xf>
    <xf numFmtId="166" fontId="1" fillId="0" borderId="30" xfId="0" applyNumberFormat="1" applyFont="1" applyBorder="1" applyAlignment="1">
      <alignment horizontal="center" vertical="center"/>
    </xf>
    <xf numFmtId="166" fontId="1" fillId="0" borderId="31" xfId="0" applyNumberFormat="1" applyFont="1" applyBorder="1" applyAlignment="1">
      <alignment horizontal="center" vertical="center"/>
    </xf>
    <xf numFmtId="4" fontId="1" fillId="0" borderId="18" xfId="0" applyNumberFormat="1" applyFont="1" applyFill="1" applyBorder="1" applyAlignment="1">
      <alignment vertical="center"/>
    </xf>
    <xf numFmtId="4" fontId="1" fillId="0" borderId="19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" fontId="1" fillId="0" borderId="12" xfId="0" applyNumberFormat="1" applyFont="1" applyFill="1" applyBorder="1" applyAlignment="1">
      <alignment vertical="center"/>
    </xf>
    <xf numFmtId="4" fontId="1" fillId="0" borderId="13" xfId="0" applyNumberFormat="1" applyFont="1" applyFill="1" applyBorder="1" applyAlignment="1">
      <alignment vertical="center"/>
    </xf>
    <xf numFmtId="4" fontId="1" fillId="0" borderId="27" xfId="0" applyNumberFormat="1" applyFont="1" applyFill="1" applyBorder="1" applyAlignment="1">
      <alignment vertical="center"/>
    </xf>
    <xf numFmtId="4" fontId="1" fillId="0" borderId="28" xfId="0" applyNumberFormat="1" applyFont="1" applyFill="1" applyBorder="1" applyAlignment="1">
      <alignment vertical="center"/>
    </xf>
    <xf numFmtId="4" fontId="2" fillId="0" borderId="36" xfId="0" applyNumberFormat="1" applyFont="1" applyFill="1" applyBorder="1" applyAlignment="1">
      <alignment vertical="center"/>
    </xf>
    <xf numFmtId="4" fontId="2" fillId="0" borderId="37" xfId="0" applyNumberFormat="1" applyFont="1" applyFill="1" applyBorder="1" applyAlignment="1">
      <alignment vertical="center"/>
    </xf>
    <xf numFmtId="4" fontId="1" fillId="0" borderId="35" xfId="0" applyNumberFormat="1" applyFont="1" applyFill="1" applyBorder="1" applyAlignment="1">
      <alignment vertical="center"/>
    </xf>
    <xf numFmtId="4" fontId="1" fillId="0" borderId="38" xfId="0" applyNumberFormat="1" applyFont="1" applyFill="1" applyBorder="1" applyAlignment="1">
      <alignment vertical="center"/>
    </xf>
    <xf numFmtId="0" fontId="2" fillId="2" borderId="40" xfId="0" applyFont="1" applyFill="1" applyBorder="1" applyAlignment="1">
      <alignment horizontal="center" vertical="center"/>
    </xf>
    <xf numFmtId="164" fontId="2" fillId="2" borderId="40" xfId="0" applyNumberFormat="1" applyFont="1" applyFill="1" applyBorder="1" applyAlignment="1">
      <alignment horizontal="center" vertical="center"/>
    </xf>
    <xf numFmtId="164" fontId="2" fillId="2" borderId="41" xfId="0" applyNumberFormat="1" applyFont="1" applyFill="1" applyBorder="1" applyAlignment="1">
      <alignment horizontal="center" vertical="center"/>
    </xf>
    <xf numFmtId="0" fontId="1" fillId="0" borderId="42" xfId="0" applyFont="1" applyBorder="1" applyAlignment="1">
      <alignment vertical="center"/>
    </xf>
    <xf numFmtId="0" fontId="1" fillId="0" borderId="42" xfId="0" quotePrefix="1" applyFont="1" applyBorder="1" applyAlignment="1">
      <alignment vertical="center"/>
    </xf>
    <xf numFmtId="0" fontId="1" fillId="0" borderId="45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vertical="center"/>
    </xf>
    <xf numFmtId="0" fontId="1" fillId="2" borderId="42" xfId="0" applyFont="1" applyFill="1" applyBorder="1" applyAlignment="1">
      <alignment vertical="center"/>
    </xf>
    <xf numFmtId="0" fontId="1" fillId="2" borderId="42" xfId="0" quotePrefix="1" applyFont="1" applyFill="1" applyBorder="1" applyAlignment="1">
      <alignment vertical="center"/>
    </xf>
    <xf numFmtId="4" fontId="2" fillId="0" borderId="40" xfId="0" applyNumberFormat="1" applyFont="1" applyBorder="1" applyAlignment="1">
      <alignment horizontal="center" vertical="center"/>
    </xf>
    <xf numFmtId="4" fontId="1" fillId="0" borderId="0" xfId="0" applyNumberFormat="1" applyFont="1" applyAlignment="1">
      <alignment vertical="center"/>
    </xf>
    <xf numFmtId="0" fontId="1" fillId="2" borderId="46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5" borderId="43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4" fontId="1" fillId="0" borderId="47" xfId="0" applyNumberFormat="1" applyFont="1" applyFill="1" applyBorder="1" applyAlignment="1">
      <alignment vertical="center"/>
    </xf>
    <xf numFmtId="4" fontId="1" fillId="0" borderId="48" xfId="0" applyNumberFormat="1" applyFont="1" applyFill="1" applyBorder="1" applyAlignment="1">
      <alignment vertical="center"/>
    </xf>
    <xf numFmtId="0" fontId="1" fillId="0" borderId="43" xfId="0" applyFont="1" applyBorder="1" applyAlignment="1">
      <alignment vertical="center"/>
    </xf>
    <xf numFmtId="4" fontId="1" fillId="0" borderId="49" xfId="0" applyNumberFormat="1" applyFont="1" applyFill="1" applyBorder="1" applyAlignment="1">
      <alignment vertical="center"/>
    </xf>
    <xf numFmtId="4" fontId="1" fillId="0" borderId="26" xfId="0" applyNumberFormat="1" applyFont="1" applyFill="1" applyBorder="1" applyAlignment="1">
      <alignment vertical="center"/>
    </xf>
    <xf numFmtId="4" fontId="1" fillId="0" borderId="50" xfId="0" applyNumberFormat="1" applyFont="1" applyFill="1" applyBorder="1" applyAlignment="1">
      <alignment vertical="center"/>
    </xf>
    <xf numFmtId="166" fontId="3" fillId="0" borderId="51" xfId="0" applyNumberFormat="1" applyFont="1" applyFill="1" applyBorder="1" applyAlignment="1">
      <alignment horizontal="center" vertical="center"/>
    </xf>
    <xf numFmtId="166" fontId="3" fillId="6" borderId="51" xfId="0" applyNumberFormat="1" applyFont="1" applyFill="1" applyBorder="1" applyAlignment="1">
      <alignment horizontal="center" vertical="center"/>
    </xf>
    <xf numFmtId="166" fontId="3" fillId="0" borderId="27" xfId="0" applyNumberFormat="1" applyFont="1" applyFill="1" applyBorder="1" applyAlignment="1">
      <alignment horizontal="center" vertical="center"/>
    </xf>
    <xf numFmtId="166" fontId="3" fillId="0" borderId="27" xfId="0" applyNumberFormat="1" applyFont="1" applyBorder="1" applyAlignment="1">
      <alignment horizontal="center" vertical="center"/>
    </xf>
    <xf numFmtId="0" fontId="1" fillId="0" borderId="52" xfId="0" applyFont="1" applyBorder="1" applyAlignment="1">
      <alignment vertical="center"/>
    </xf>
    <xf numFmtId="0" fontId="1" fillId="0" borderId="46" xfId="0" quotePrefix="1" applyFont="1" applyBorder="1" applyAlignment="1">
      <alignment vertical="center"/>
    </xf>
    <xf numFmtId="166" fontId="3" fillId="0" borderId="48" xfId="0" applyNumberFormat="1" applyFont="1" applyFill="1" applyBorder="1" applyAlignment="1">
      <alignment horizontal="center" vertical="center"/>
    </xf>
    <xf numFmtId="166" fontId="3" fillId="0" borderId="48" xfId="0" applyNumberFormat="1" applyFont="1" applyBorder="1" applyAlignment="1">
      <alignment horizontal="center" vertical="center"/>
    </xf>
    <xf numFmtId="4" fontId="1" fillId="0" borderId="54" xfId="0" applyNumberFormat="1" applyFont="1" applyFill="1" applyBorder="1" applyAlignment="1">
      <alignment vertical="center"/>
    </xf>
    <xf numFmtId="4" fontId="1" fillId="0" borderId="0" xfId="0" applyNumberFormat="1" applyFont="1" applyFill="1" applyBorder="1" applyAlignment="1">
      <alignment vertical="center"/>
    </xf>
    <xf numFmtId="4" fontId="1" fillId="0" borderId="53" xfId="0" applyNumberFormat="1" applyFont="1" applyFill="1" applyBorder="1" applyAlignment="1">
      <alignment vertical="center"/>
    </xf>
    <xf numFmtId="4" fontId="1" fillId="0" borderId="55" xfId="0" applyNumberFormat="1" applyFont="1" applyFill="1" applyBorder="1" applyAlignment="1">
      <alignment vertical="center"/>
    </xf>
    <xf numFmtId="4" fontId="1" fillId="0" borderId="56" xfId="0" applyNumberFormat="1" applyFont="1" applyFill="1" applyBorder="1" applyAlignment="1">
      <alignment vertical="center"/>
    </xf>
    <xf numFmtId="3" fontId="1" fillId="0" borderId="21" xfId="0" applyNumberFormat="1" applyFont="1" applyFill="1" applyBorder="1" applyAlignment="1">
      <alignment horizontal="center" vertical="center"/>
    </xf>
    <xf numFmtId="3" fontId="1" fillId="0" borderId="18" xfId="0" applyNumberFormat="1" applyFont="1" applyFill="1" applyBorder="1" applyAlignment="1">
      <alignment horizontal="center" vertical="center"/>
    </xf>
    <xf numFmtId="3" fontId="1" fillId="0" borderId="30" xfId="0" applyNumberFormat="1" applyFont="1" applyFill="1" applyBorder="1" applyAlignment="1">
      <alignment horizontal="center" vertical="center"/>
    </xf>
    <xf numFmtId="3" fontId="1" fillId="0" borderId="42" xfId="0" applyNumberFormat="1" applyFont="1" applyFill="1" applyBorder="1" applyAlignment="1">
      <alignment horizontal="right" vertical="center"/>
    </xf>
    <xf numFmtId="3" fontId="1" fillId="0" borderId="43" xfId="0" applyNumberFormat="1" applyFont="1" applyFill="1" applyBorder="1" applyAlignment="1">
      <alignment horizontal="right" vertical="center"/>
    </xf>
    <xf numFmtId="3" fontId="2" fillId="0" borderId="40" xfId="0" applyNumberFormat="1" applyFont="1" applyBorder="1" applyAlignment="1">
      <alignment horizontal="right" vertical="center"/>
    </xf>
    <xf numFmtId="3" fontId="2" fillId="0" borderId="41" xfId="0" applyNumberFormat="1" applyFont="1" applyBorder="1" applyAlignment="1">
      <alignment horizontal="right" vertical="center"/>
    </xf>
    <xf numFmtId="4" fontId="1" fillId="0" borderId="0" xfId="0" applyNumberFormat="1" applyFont="1" applyFill="1" applyBorder="1" applyAlignment="1">
      <alignment horizontal="right" vertical="center"/>
    </xf>
    <xf numFmtId="4" fontId="2" fillId="0" borderId="41" xfId="0" applyNumberFormat="1" applyFont="1" applyBorder="1" applyAlignment="1">
      <alignment horizontal="center" vertical="center"/>
    </xf>
    <xf numFmtId="0" fontId="5" fillId="2" borderId="44" xfId="0" applyFont="1" applyFill="1" applyBorder="1" applyAlignment="1">
      <alignment vertical="center"/>
    </xf>
    <xf numFmtId="0" fontId="5" fillId="2" borderId="40" xfId="0" applyFont="1" applyFill="1" applyBorder="1" applyAlignment="1">
      <alignment vertical="center"/>
    </xf>
    <xf numFmtId="4" fontId="5" fillId="2" borderId="40" xfId="0" applyNumberFormat="1" applyFont="1" applyFill="1" applyBorder="1" applyAlignment="1">
      <alignment horizontal="center" vertical="center"/>
    </xf>
    <xf numFmtId="4" fontId="5" fillId="2" borderId="41" xfId="0" applyNumberFormat="1" applyFont="1" applyFill="1" applyBorder="1" applyAlignment="1">
      <alignment horizontal="center" vertical="center"/>
    </xf>
    <xf numFmtId="3" fontId="2" fillId="0" borderId="0" xfId="0" applyNumberFormat="1" applyFont="1" applyBorder="1" applyAlignment="1">
      <alignment horizontal="right" vertical="center"/>
    </xf>
    <xf numFmtId="0" fontId="1" fillId="0" borderId="58" xfId="0" applyFont="1" applyBorder="1" applyAlignment="1">
      <alignment horizontal="right" vertical="center"/>
    </xf>
    <xf numFmtId="3" fontId="2" fillId="0" borderId="42" xfId="0" applyNumberFormat="1" applyFont="1" applyFill="1" applyBorder="1" applyAlignment="1">
      <alignment horizontal="center" vertical="center"/>
    </xf>
    <xf numFmtId="3" fontId="1" fillId="0" borderId="42" xfId="0" applyNumberFormat="1" applyFont="1" applyBorder="1" applyAlignment="1">
      <alignment horizontal="right" vertical="center"/>
    </xf>
    <xf numFmtId="3" fontId="2" fillId="2" borderId="42" xfId="0" applyNumberFormat="1" applyFont="1" applyFill="1" applyBorder="1" applyAlignment="1">
      <alignment horizontal="center" vertical="center"/>
    </xf>
    <xf numFmtId="3" fontId="1" fillId="2" borderId="42" xfId="0" applyNumberFormat="1" applyFont="1" applyFill="1" applyBorder="1" applyAlignment="1">
      <alignment horizontal="right" vertical="center"/>
    </xf>
    <xf numFmtId="3" fontId="1" fillId="2" borderId="43" xfId="0" applyNumberFormat="1" applyFont="1" applyFill="1" applyBorder="1" applyAlignment="1">
      <alignment horizontal="right"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32" xfId="0" applyFont="1" applyBorder="1" applyAlignment="1">
      <alignment horizontal="right" vertical="center"/>
    </xf>
    <xf numFmtId="0" fontId="1" fillId="0" borderId="68" xfId="0" applyFont="1" applyBorder="1" applyAlignment="1">
      <alignment vertical="center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69" xfId="0" applyFont="1" applyBorder="1" applyAlignment="1">
      <alignment vertical="center"/>
    </xf>
    <xf numFmtId="0" fontId="1" fillId="0" borderId="47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1" fillId="0" borderId="69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4" fontId="1" fillId="0" borderId="68" xfId="0" applyNumberFormat="1" applyFont="1" applyBorder="1" applyAlignment="1">
      <alignment vertical="center"/>
    </xf>
    <xf numFmtId="4" fontId="1" fillId="0" borderId="27" xfId="0" applyNumberFormat="1" applyFont="1" applyBorder="1" applyAlignment="1">
      <alignment vertical="center"/>
    </xf>
    <xf numFmtId="4" fontId="1" fillId="0" borderId="28" xfId="0" applyNumberFormat="1" applyFont="1" applyBorder="1" applyAlignment="1">
      <alignment vertical="center"/>
    </xf>
    <xf numFmtId="4" fontId="1" fillId="0" borderId="68" xfId="0" applyNumberFormat="1" applyFont="1" applyBorder="1" applyAlignment="1">
      <alignment horizontal="center" vertical="center"/>
    </xf>
    <xf numFmtId="4" fontId="1" fillId="0" borderId="27" xfId="0" applyNumberFormat="1" applyFont="1" applyBorder="1" applyAlignment="1">
      <alignment horizontal="center" vertical="center"/>
    </xf>
    <xf numFmtId="4" fontId="1" fillId="0" borderId="28" xfId="0" applyNumberFormat="1" applyFont="1" applyBorder="1" applyAlignment="1">
      <alignment horizontal="center" vertical="center"/>
    </xf>
    <xf numFmtId="10" fontId="1" fillId="0" borderId="21" xfId="0" applyNumberFormat="1" applyFont="1" applyFill="1" applyBorder="1" applyAlignment="1">
      <alignment horizontal="center" vertical="center"/>
    </xf>
    <xf numFmtId="10" fontId="1" fillId="0" borderId="70" xfId="0" applyNumberFormat="1" applyFont="1" applyBorder="1" applyAlignment="1">
      <alignment vertical="center"/>
    </xf>
    <xf numFmtId="10" fontId="1" fillId="0" borderId="48" xfId="0" applyNumberFormat="1" applyFont="1" applyBorder="1" applyAlignment="1">
      <alignment vertical="center"/>
    </xf>
    <xf numFmtId="10" fontId="1" fillId="0" borderId="56" xfId="0" applyNumberFormat="1" applyFont="1" applyBorder="1" applyAlignment="1">
      <alignment vertical="center"/>
    </xf>
    <xf numFmtId="4" fontId="2" fillId="0" borderId="67" xfId="0" applyNumberFormat="1" applyFont="1" applyBorder="1" applyAlignment="1">
      <alignment vertical="center"/>
    </xf>
    <xf numFmtId="4" fontId="2" fillId="0" borderId="24" xfId="0" applyNumberFormat="1" applyFont="1" applyBorder="1" applyAlignment="1">
      <alignment vertical="center"/>
    </xf>
    <xf numFmtId="4" fontId="2" fillId="0" borderId="25" xfId="0" applyNumberFormat="1" applyFont="1" applyBorder="1" applyAlignment="1">
      <alignment vertical="center"/>
    </xf>
    <xf numFmtId="4" fontId="1" fillId="0" borderId="69" xfId="0" applyNumberFormat="1" applyFont="1" applyBorder="1" applyAlignment="1">
      <alignment vertical="center"/>
    </xf>
    <xf numFmtId="4" fontId="1" fillId="0" borderId="47" xfId="0" applyNumberFormat="1" applyFont="1" applyBorder="1" applyAlignment="1">
      <alignment vertical="center"/>
    </xf>
    <xf numFmtId="4" fontId="1" fillId="0" borderId="55" xfId="0" applyNumberFormat="1" applyFont="1" applyBorder="1" applyAlignment="1">
      <alignment vertical="center"/>
    </xf>
    <xf numFmtId="0" fontId="1" fillId="0" borderId="71" xfId="0" applyFont="1" applyBorder="1" applyAlignment="1">
      <alignment vertical="center"/>
    </xf>
    <xf numFmtId="0" fontId="1" fillId="0" borderId="72" xfId="0" applyFont="1" applyBorder="1" applyAlignment="1">
      <alignment vertical="center"/>
    </xf>
    <xf numFmtId="0" fontId="1" fillId="0" borderId="65" xfId="0" applyFont="1" applyBorder="1" applyAlignment="1">
      <alignment horizontal="right" vertical="center"/>
    </xf>
    <xf numFmtId="0" fontId="1" fillId="0" borderId="73" xfId="0" applyFont="1" applyBorder="1" applyAlignment="1">
      <alignment vertical="center"/>
    </xf>
    <xf numFmtId="0" fontId="1" fillId="0" borderId="74" xfId="0" applyFont="1" applyBorder="1" applyAlignment="1">
      <alignment vertical="center"/>
    </xf>
    <xf numFmtId="0" fontId="1" fillId="0" borderId="66" xfId="0" applyFont="1" applyBorder="1" applyAlignment="1">
      <alignment horizontal="right" vertical="center"/>
    </xf>
    <xf numFmtId="0" fontId="1" fillId="0" borderId="70" xfId="0" applyFont="1" applyBorder="1" applyAlignment="1">
      <alignment vertical="center"/>
    </xf>
    <xf numFmtId="0" fontId="1" fillId="0" borderId="48" xfId="0" applyFont="1" applyBorder="1" applyAlignment="1">
      <alignment vertical="center"/>
    </xf>
    <xf numFmtId="0" fontId="1" fillId="0" borderId="56" xfId="0" applyFont="1" applyBorder="1" applyAlignment="1">
      <alignment vertical="center"/>
    </xf>
    <xf numFmtId="0" fontId="2" fillId="0" borderId="32" xfId="0" applyFont="1" applyBorder="1" applyAlignment="1">
      <alignment horizontal="right" vertical="center"/>
    </xf>
    <xf numFmtId="4" fontId="2" fillId="0" borderId="76" xfId="0" applyNumberFormat="1" applyFont="1" applyFill="1" applyBorder="1" applyAlignment="1">
      <alignment vertical="center"/>
    </xf>
    <xf numFmtId="4" fontId="2" fillId="0" borderId="77" xfId="0" applyNumberFormat="1" applyFont="1" applyFill="1" applyBorder="1" applyAlignment="1">
      <alignment vertical="center"/>
    </xf>
    <xf numFmtId="4" fontId="2" fillId="0" borderId="79" xfId="0" applyNumberFormat="1" applyFont="1" applyFill="1" applyBorder="1" applyAlignment="1">
      <alignment vertical="center"/>
    </xf>
    <xf numFmtId="4" fontId="2" fillId="0" borderId="80" xfId="0" applyNumberFormat="1" applyFont="1" applyFill="1" applyBorder="1" applyAlignment="1">
      <alignment vertical="center"/>
    </xf>
    <xf numFmtId="0" fontId="1" fillId="0" borderId="82" xfId="0" applyFont="1" applyBorder="1" applyAlignment="1">
      <alignment vertical="center"/>
    </xf>
    <xf numFmtId="0" fontId="1" fillId="0" borderId="83" xfId="0" applyFont="1" applyBorder="1" applyAlignment="1">
      <alignment vertical="center"/>
    </xf>
    <xf numFmtId="0" fontId="1" fillId="0" borderId="84" xfId="0" applyFont="1" applyBorder="1" applyAlignment="1">
      <alignment vertical="center"/>
    </xf>
    <xf numFmtId="0" fontId="2" fillId="0" borderId="85" xfId="0" applyFont="1" applyBorder="1" applyAlignment="1">
      <alignment vertical="center"/>
    </xf>
    <xf numFmtId="0" fontId="2" fillId="0" borderId="86" xfId="0" applyFont="1" applyBorder="1" applyAlignment="1">
      <alignment vertical="center"/>
    </xf>
    <xf numFmtId="4" fontId="1" fillId="0" borderId="87" xfId="0" applyNumberFormat="1" applyFont="1" applyFill="1" applyBorder="1" applyAlignment="1">
      <alignment vertical="center"/>
    </xf>
    <xf numFmtId="4" fontId="1" fillId="0" borderId="20" xfId="0" applyNumberFormat="1" applyFont="1" applyFill="1" applyBorder="1" applyAlignment="1">
      <alignment vertical="center"/>
    </xf>
    <xf numFmtId="4" fontId="2" fillId="0" borderId="78" xfId="0" applyNumberFormat="1" applyFont="1" applyFill="1" applyBorder="1" applyAlignment="1">
      <alignment vertical="center"/>
    </xf>
    <xf numFmtId="4" fontId="2" fillId="0" borderId="75" xfId="0" applyNumberFormat="1" applyFont="1" applyFill="1" applyBorder="1" applyAlignment="1">
      <alignment vertical="center"/>
    </xf>
    <xf numFmtId="0" fontId="1" fillId="0" borderId="88" xfId="0" applyFont="1" applyBorder="1" applyAlignment="1">
      <alignment horizontal="right" vertical="center"/>
    </xf>
    <xf numFmtId="0" fontId="1" fillId="0" borderId="89" xfId="0" applyFont="1" applyBorder="1" applyAlignment="1">
      <alignment horizontal="right" vertical="center"/>
    </xf>
    <xf numFmtId="0" fontId="1" fillId="0" borderId="90" xfId="0" applyFont="1" applyBorder="1" applyAlignment="1">
      <alignment horizontal="right" vertical="center"/>
    </xf>
    <xf numFmtId="0" fontId="1" fillId="0" borderId="91" xfId="0" applyFont="1" applyBorder="1" applyAlignment="1">
      <alignment horizontal="right" vertical="center"/>
    </xf>
    <xf numFmtId="0" fontId="2" fillId="0" borderId="92" xfId="0" applyFont="1" applyBorder="1" applyAlignment="1">
      <alignment horizontal="right" vertical="center"/>
    </xf>
    <xf numFmtId="0" fontId="2" fillId="0" borderId="81" xfId="0" applyFont="1" applyBorder="1" applyAlignment="1">
      <alignment horizontal="right" vertical="center"/>
    </xf>
    <xf numFmtId="0" fontId="2" fillId="0" borderId="93" xfId="0" applyFont="1" applyBorder="1" applyAlignment="1">
      <alignment vertical="center"/>
    </xf>
    <xf numFmtId="4" fontId="2" fillId="0" borderId="94" xfId="0" applyNumberFormat="1" applyFont="1" applyFill="1" applyBorder="1" applyAlignment="1">
      <alignment vertical="center"/>
    </xf>
    <xf numFmtId="0" fontId="2" fillId="0" borderId="95" xfId="0" applyFont="1" applyBorder="1" applyAlignment="1">
      <alignment horizontal="right" vertical="center"/>
    </xf>
    <xf numFmtId="0" fontId="2" fillId="0" borderId="29" xfId="0" applyFont="1" applyBorder="1" applyAlignment="1">
      <alignment vertical="center" wrapText="1"/>
    </xf>
    <xf numFmtId="0" fontId="2" fillId="0" borderId="21" xfId="0" applyFont="1" applyBorder="1" applyAlignment="1">
      <alignment horizontal="right" vertical="center"/>
    </xf>
    <xf numFmtId="3" fontId="2" fillId="0" borderId="30" xfId="0" applyNumberFormat="1" applyFont="1" applyBorder="1" applyAlignment="1">
      <alignment vertical="center"/>
    </xf>
    <xf numFmtId="3" fontId="2" fillId="0" borderId="31" xfId="0" applyNumberFormat="1" applyFont="1" applyBorder="1" applyAlignment="1">
      <alignment vertical="center"/>
    </xf>
    <xf numFmtId="0" fontId="1" fillId="0" borderId="103" xfId="0" applyFont="1" applyBorder="1" applyAlignment="1">
      <alignment vertical="center"/>
    </xf>
    <xf numFmtId="0" fontId="1" fillId="0" borderId="87" xfId="0" applyFont="1" applyBorder="1" applyAlignment="1">
      <alignment vertical="center"/>
    </xf>
    <xf numFmtId="0" fontId="1" fillId="0" borderId="104" xfId="0" applyFont="1" applyBorder="1" applyAlignment="1">
      <alignment vertical="center"/>
    </xf>
    <xf numFmtId="0" fontId="1" fillId="0" borderId="105" xfId="0" applyFont="1" applyBorder="1" applyAlignment="1">
      <alignment vertical="center"/>
    </xf>
    <xf numFmtId="0" fontId="1" fillId="0" borderId="101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10" fontId="1" fillId="0" borderId="12" xfId="0" applyNumberFormat="1" applyFont="1" applyFill="1" applyBorder="1" applyAlignment="1">
      <alignment horizontal="center" vertical="center"/>
    </xf>
    <xf numFmtId="10" fontId="1" fillId="0" borderId="13" xfId="0" applyNumberFormat="1" applyFont="1" applyFill="1" applyBorder="1" applyAlignment="1">
      <alignment horizontal="center" vertical="center"/>
    </xf>
    <xf numFmtId="0" fontId="1" fillId="0" borderId="106" xfId="0" applyFont="1" applyBorder="1" applyAlignment="1">
      <alignment horizontal="right" vertical="center"/>
    </xf>
    <xf numFmtId="4" fontId="1" fillId="0" borderId="26" xfId="0" applyNumberFormat="1" applyFont="1" applyBorder="1" applyAlignment="1">
      <alignment vertical="center"/>
    </xf>
    <xf numFmtId="10" fontId="1" fillId="0" borderId="26" xfId="0" applyNumberFormat="1" applyFont="1" applyBorder="1" applyAlignment="1">
      <alignment vertical="center"/>
    </xf>
    <xf numFmtId="10" fontId="1" fillId="0" borderId="27" xfId="0" applyNumberFormat="1" applyFont="1" applyBorder="1" applyAlignment="1">
      <alignment vertical="center"/>
    </xf>
    <xf numFmtId="10" fontId="1" fillId="0" borderId="28" xfId="0" applyNumberFormat="1" applyFont="1" applyBorder="1" applyAlignment="1">
      <alignment vertical="center"/>
    </xf>
    <xf numFmtId="4" fontId="1" fillId="0" borderId="49" xfId="0" applyNumberFormat="1" applyFont="1" applyBorder="1" applyAlignment="1">
      <alignment vertical="center"/>
    </xf>
    <xf numFmtId="4" fontId="1" fillId="0" borderId="50" xfId="0" applyNumberFormat="1" applyFont="1" applyBorder="1" applyAlignment="1">
      <alignment vertical="center"/>
    </xf>
    <xf numFmtId="0" fontId="2" fillId="2" borderId="25" xfId="0" applyFont="1" applyFill="1" applyBorder="1" applyAlignment="1">
      <alignment horizontal="center" vertical="center"/>
    </xf>
    <xf numFmtId="10" fontId="6" fillId="0" borderId="24" xfId="0" applyNumberFormat="1" applyFont="1" applyBorder="1" applyAlignment="1">
      <alignment horizontal="center" vertical="center"/>
    </xf>
    <xf numFmtId="10" fontId="6" fillId="0" borderId="25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4" fontId="2" fillId="0" borderId="23" xfId="0" applyNumberFormat="1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10" fontId="1" fillId="0" borderId="0" xfId="0" applyNumberFormat="1" applyFont="1" applyFill="1" applyBorder="1" applyAlignment="1">
      <alignment horizontal="center" vertical="center"/>
    </xf>
    <xf numFmtId="166" fontId="1" fillId="0" borderId="12" xfId="0" applyNumberFormat="1" applyFont="1" applyFill="1" applyBorder="1" applyAlignment="1">
      <alignment horizontal="center" vertical="center"/>
    </xf>
    <xf numFmtId="166" fontId="1" fillId="0" borderId="13" xfId="0" applyNumberFormat="1" applyFont="1" applyFill="1" applyBorder="1" applyAlignment="1">
      <alignment horizontal="center" vertical="center"/>
    </xf>
    <xf numFmtId="165" fontId="1" fillId="0" borderId="26" xfId="0" applyNumberFormat="1" applyFont="1" applyBorder="1" applyAlignment="1">
      <alignment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3" fillId="0" borderId="109" xfId="0" applyFont="1" applyBorder="1" applyAlignment="1">
      <alignment horizontal="left" vertical="center"/>
    </xf>
    <xf numFmtId="0" fontId="1" fillId="0" borderId="109" xfId="0" applyFont="1" applyBorder="1" applyAlignment="1">
      <alignment vertical="center"/>
    </xf>
    <xf numFmtId="0" fontId="3" fillId="0" borderId="112" xfId="0" applyFont="1" applyBorder="1" applyAlignment="1">
      <alignment horizontal="left" vertical="center"/>
    </xf>
    <xf numFmtId="0" fontId="1" fillId="0" borderId="112" xfId="0" applyFont="1" applyBorder="1" applyAlignment="1">
      <alignment vertical="center"/>
    </xf>
    <xf numFmtId="0" fontId="3" fillId="0" borderId="110" xfId="0" applyFont="1" applyBorder="1" applyAlignment="1">
      <alignment horizontal="left" vertical="center"/>
    </xf>
    <xf numFmtId="0" fontId="3" fillId="0" borderId="111" xfId="0" applyFont="1" applyBorder="1" applyAlignment="1">
      <alignment horizontal="left" vertical="center"/>
    </xf>
    <xf numFmtId="166" fontId="1" fillId="0" borderId="12" xfId="0" applyNumberFormat="1" applyFont="1" applyBorder="1" applyAlignment="1">
      <alignment vertical="center"/>
    </xf>
    <xf numFmtId="166" fontId="1" fillId="0" borderId="13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vertical="center"/>
    </xf>
    <xf numFmtId="166" fontId="1" fillId="0" borderId="16" xfId="0" applyNumberFormat="1" applyFont="1" applyBorder="1" applyAlignment="1">
      <alignment vertical="center"/>
    </xf>
    <xf numFmtId="166" fontId="1" fillId="0" borderId="21" xfId="0" applyNumberFormat="1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109" xfId="0" applyFont="1" applyBorder="1" applyAlignment="1">
      <alignment horizontal="left" vertical="center"/>
    </xf>
    <xf numFmtId="0" fontId="2" fillId="0" borderId="109" xfId="0" applyFont="1" applyBorder="1" applyAlignment="1">
      <alignment horizontal="left" vertical="center"/>
    </xf>
    <xf numFmtId="0" fontId="2" fillId="0" borderId="112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0" fontId="1" fillId="0" borderId="0" xfId="0" applyNumberFormat="1" applyFont="1" applyBorder="1" applyAlignment="1">
      <alignment horizontal="right" vertical="center"/>
    </xf>
    <xf numFmtId="0" fontId="6" fillId="0" borderId="138" xfId="0" applyFont="1" applyFill="1" applyBorder="1" applyAlignment="1">
      <alignment horizontal="left" vertical="center"/>
    </xf>
    <xf numFmtId="0" fontId="1" fillId="0" borderId="68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165" fontId="1" fillId="0" borderId="27" xfId="0" applyNumberFormat="1" applyFont="1" applyBorder="1" applyAlignment="1">
      <alignment vertical="center"/>
    </xf>
    <xf numFmtId="4" fontId="2" fillId="0" borderId="100" xfId="0" applyNumberFormat="1" applyFont="1" applyFill="1" applyBorder="1" applyAlignment="1">
      <alignment vertical="center"/>
    </xf>
    <xf numFmtId="0" fontId="10" fillId="0" borderId="14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3" fontId="10" fillId="0" borderId="42" xfId="0" applyNumberFormat="1" applyFont="1" applyBorder="1" applyAlignment="1">
      <alignment vertical="center"/>
    </xf>
    <xf numFmtId="3" fontId="16" fillId="0" borderId="130" xfId="0" applyNumberFormat="1" applyFont="1" applyFill="1" applyBorder="1" applyAlignment="1">
      <alignment vertical="center"/>
    </xf>
    <xf numFmtId="0" fontId="10" fillId="0" borderId="143" xfId="0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3" fontId="2" fillId="0" borderId="139" xfId="0" applyNumberFormat="1" applyFont="1" applyFill="1" applyBorder="1" applyAlignment="1">
      <alignment vertical="center"/>
    </xf>
    <xf numFmtId="172" fontId="2" fillId="0" borderId="132" xfId="0" applyNumberFormat="1" applyFont="1" applyFill="1" applyBorder="1" applyAlignment="1">
      <alignment vertical="center"/>
    </xf>
    <xf numFmtId="172" fontId="2" fillId="0" borderId="133" xfId="0" applyNumberFormat="1" applyFont="1" applyFill="1" applyBorder="1" applyAlignment="1">
      <alignment horizontal="right" vertical="center"/>
    </xf>
    <xf numFmtId="172" fontId="2" fillId="0" borderId="133" xfId="0" applyNumberFormat="1" applyFont="1" applyFill="1" applyBorder="1" applyAlignment="1">
      <alignment vertical="center"/>
    </xf>
    <xf numFmtId="172" fontId="2" fillId="0" borderId="153" xfId="0" applyNumberFormat="1" applyFont="1" applyFill="1" applyBorder="1" applyAlignment="1">
      <alignment horizontal="right" vertical="center"/>
    </xf>
    <xf numFmtId="0" fontId="6" fillId="0" borderId="155" xfId="0" applyFont="1" applyFill="1" applyBorder="1" applyAlignment="1">
      <alignment horizontal="left" vertical="center"/>
    </xf>
    <xf numFmtId="0" fontId="2" fillId="0" borderId="156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65" fontId="1" fillId="0" borderId="28" xfId="0" applyNumberFormat="1" applyFont="1" applyBorder="1" applyAlignment="1">
      <alignment vertical="center"/>
    </xf>
    <xf numFmtId="3" fontId="2" fillId="0" borderId="141" xfId="0" applyNumberFormat="1" applyFont="1" applyFill="1" applyBorder="1" applyAlignment="1">
      <alignment vertical="center"/>
    </xf>
    <xf numFmtId="3" fontId="16" fillId="0" borderId="134" xfId="0" applyNumberFormat="1" applyFont="1" applyFill="1" applyBorder="1" applyAlignment="1">
      <alignment vertical="center"/>
    </xf>
    <xf numFmtId="171" fontId="10" fillId="0" borderId="130" xfId="1" applyNumberFormat="1" applyFont="1" applyBorder="1" applyAlignment="1">
      <alignment vertical="center"/>
    </xf>
    <xf numFmtId="3" fontId="16" fillId="0" borderId="139" xfId="0" applyNumberFormat="1" applyFont="1" applyFill="1" applyBorder="1" applyAlignment="1">
      <alignment vertical="center"/>
    </xf>
    <xf numFmtId="3" fontId="16" fillId="0" borderId="149" xfId="0" applyNumberFormat="1" applyFont="1" applyFill="1" applyBorder="1" applyAlignment="1">
      <alignment vertical="center"/>
    </xf>
    <xf numFmtId="172" fontId="10" fillId="0" borderId="132" xfId="0" applyNumberFormat="1" applyFont="1" applyFill="1" applyBorder="1" applyAlignment="1">
      <alignment vertical="center"/>
    </xf>
    <xf numFmtId="172" fontId="10" fillId="0" borderId="135" xfId="0" applyNumberFormat="1" applyFont="1" applyFill="1" applyBorder="1" applyAlignment="1">
      <alignment vertical="center"/>
    </xf>
    <xf numFmtId="172" fontId="10" fillId="0" borderId="133" xfId="0" applyNumberFormat="1" applyFont="1" applyFill="1" applyBorder="1" applyAlignment="1">
      <alignment vertical="center"/>
    </xf>
    <xf numFmtId="172" fontId="10" fillId="0" borderId="136" xfId="0" applyNumberFormat="1" applyFont="1" applyFill="1" applyBorder="1" applyAlignment="1">
      <alignment vertical="center"/>
    </xf>
    <xf numFmtId="172" fontId="10" fillId="0" borderId="153" xfId="0" applyNumberFormat="1" applyFont="1" applyFill="1" applyBorder="1" applyAlignment="1">
      <alignment vertical="center"/>
    </xf>
    <xf numFmtId="172" fontId="10" fillId="0" borderId="154" xfId="0" applyNumberFormat="1" applyFont="1" applyFill="1" applyBorder="1" applyAlignment="1">
      <alignment vertical="center"/>
    </xf>
    <xf numFmtId="10" fontId="2" fillId="0" borderId="2" xfId="0" applyNumberFormat="1" applyFont="1" applyBorder="1" applyAlignment="1">
      <alignment vertical="center"/>
    </xf>
    <xf numFmtId="0" fontId="1" fillId="0" borderId="107" xfId="0" applyFont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4" fontId="1" fillId="0" borderId="23" xfId="0" applyNumberFormat="1" applyFont="1" applyBorder="1" applyAlignment="1">
      <alignment vertical="center"/>
    </xf>
    <xf numFmtId="4" fontId="1" fillId="0" borderId="24" xfId="0" applyNumberFormat="1" applyFont="1" applyBorder="1" applyAlignment="1">
      <alignment vertical="center"/>
    </xf>
    <xf numFmtId="4" fontId="1" fillId="0" borderId="25" xfId="0" applyNumberFormat="1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159" xfId="0" applyFont="1" applyBorder="1" applyAlignment="1">
      <alignment horizontal="right" vertical="center"/>
    </xf>
    <xf numFmtId="0" fontId="1" fillId="0" borderId="160" xfId="0" applyFont="1" applyBorder="1" applyAlignment="1">
      <alignment horizontal="center" vertical="center"/>
    </xf>
    <xf numFmtId="0" fontId="1" fillId="0" borderId="161" xfId="0" applyFont="1" applyBorder="1" applyAlignment="1">
      <alignment vertical="center"/>
    </xf>
    <xf numFmtId="0" fontId="1" fillId="0" borderId="162" xfId="0" applyFont="1" applyBorder="1" applyAlignment="1">
      <alignment horizontal="right" vertical="center"/>
    </xf>
    <xf numFmtId="4" fontId="1" fillId="0" borderId="20" xfId="0" applyNumberFormat="1" applyFont="1" applyBorder="1" applyAlignment="1">
      <alignment vertical="center"/>
    </xf>
    <xf numFmtId="0" fontId="1" fillId="0" borderId="132" xfId="0" applyFont="1" applyBorder="1" applyAlignment="1">
      <alignment vertical="center"/>
    </xf>
    <xf numFmtId="3" fontId="1" fillId="0" borderId="133" xfId="0" applyNumberFormat="1" applyFont="1" applyBorder="1" applyAlignment="1">
      <alignment vertical="center"/>
    </xf>
    <xf numFmtId="170" fontId="1" fillId="0" borderId="133" xfId="0" applyNumberFormat="1" applyFont="1" applyBorder="1" applyAlignment="1">
      <alignment vertical="center"/>
    </xf>
    <xf numFmtId="0" fontId="1" fillId="0" borderId="86" xfId="0" applyFont="1" applyBorder="1" applyAlignment="1">
      <alignment vertical="center"/>
    </xf>
    <xf numFmtId="3" fontId="1" fillId="0" borderId="134" xfId="0" applyNumberFormat="1" applyFont="1" applyBorder="1" applyAlignment="1">
      <alignment vertical="center"/>
    </xf>
    <xf numFmtId="0" fontId="6" fillId="0" borderId="86" xfId="0" applyFont="1" applyBorder="1" applyAlignment="1">
      <alignment vertical="center"/>
    </xf>
    <xf numFmtId="3" fontId="2" fillId="0" borderId="134" xfId="0" applyNumberFormat="1" applyFont="1" applyBorder="1" applyAlignment="1">
      <alignment vertical="center"/>
    </xf>
    <xf numFmtId="0" fontId="1" fillId="0" borderId="86" xfId="0" applyFont="1" applyFill="1" applyBorder="1" applyAlignment="1">
      <alignment vertical="center"/>
    </xf>
    <xf numFmtId="0" fontId="2" fillId="0" borderId="138" xfId="0" applyFont="1" applyFill="1" applyBorder="1" applyAlignment="1">
      <alignment vertical="center"/>
    </xf>
    <xf numFmtId="0" fontId="6" fillId="0" borderId="138" xfId="0" applyFont="1" applyFill="1" applyBorder="1" applyAlignment="1">
      <alignment vertical="center"/>
    </xf>
    <xf numFmtId="0" fontId="2" fillId="0" borderId="140" xfId="0" applyFont="1" applyFill="1" applyBorder="1" applyAlignment="1">
      <alignment horizontal="right" vertical="center"/>
    </xf>
    <xf numFmtId="3" fontId="2" fillId="0" borderId="139" xfId="0" applyNumberFormat="1" applyFont="1" applyBorder="1" applyAlignment="1">
      <alignment vertical="center"/>
    </xf>
    <xf numFmtId="0" fontId="1" fillId="0" borderId="141" xfId="0" applyFont="1" applyBorder="1" applyAlignment="1">
      <alignment vertical="center"/>
    </xf>
    <xf numFmtId="0" fontId="2" fillId="0" borderId="138" xfId="0" applyFont="1" applyFill="1" applyBorder="1" applyAlignment="1">
      <alignment horizontal="right" vertical="center"/>
    </xf>
    <xf numFmtId="0" fontId="2" fillId="0" borderId="138" xfId="0" applyFont="1" applyBorder="1" applyAlignment="1">
      <alignment vertical="center"/>
    </xf>
    <xf numFmtId="0" fontId="2" fillId="0" borderId="143" xfId="0" applyFont="1" applyBorder="1" applyAlignment="1">
      <alignment horizontal="right" vertical="center"/>
    </xf>
    <xf numFmtId="3" fontId="10" fillId="0" borderId="142" xfId="0" applyNumberFormat="1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3" fontId="10" fillId="0" borderId="144" xfId="0" applyNumberFormat="1" applyFont="1" applyBorder="1" applyAlignment="1">
      <alignment vertical="center"/>
    </xf>
    <xf numFmtId="0" fontId="1" fillId="0" borderId="138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3" fontId="16" fillId="0" borderId="42" xfId="0" applyNumberFormat="1" applyFont="1" applyBorder="1" applyAlignment="1">
      <alignment vertical="center"/>
    </xf>
    <xf numFmtId="0" fontId="13" fillId="0" borderId="145" xfId="0" applyFont="1" applyBorder="1" applyAlignment="1">
      <alignment vertical="center"/>
    </xf>
    <xf numFmtId="0" fontId="16" fillId="0" borderId="145" xfId="0" applyFont="1" applyBorder="1" applyAlignment="1">
      <alignment horizontal="right" vertical="center"/>
    </xf>
    <xf numFmtId="3" fontId="10" fillId="0" borderId="146" xfId="0" applyNumberFormat="1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6" fillId="0" borderId="0" xfId="0" applyFont="1" applyBorder="1" applyAlignment="1">
      <alignment horizontal="right" vertical="center"/>
    </xf>
    <xf numFmtId="0" fontId="15" fillId="0" borderId="147" xfId="0" applyFont="1" applyBorder="1" applyAlignment="1">
      <alignment vertical="center"/>
    </xf>
    <xf numFmtId="0" fontId="16" fillId="0" borderId="147" xfId="0" applyFont="1" applyBorder="1" applyAlignment="1">
      <alignment horizontal="right" vertical="center"/>
    </xf>
    <xf numFmtId="3" fontId="16" fillId="0" borderId="148" xfId="0" applyNumberFormat="1" applyFont="1" applyBorder="1" applyAlignment="1">
      <alignment vertical="center"/>
    </xf>
    <xf numFmtId="0" fontId="1" fillId="0" borderId="141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3" fontId="10" fillId="0" borderId="139" xfId="0" applyNumberFormat="1" applyFont="1" applyFill="1" applyBorder="1" applyAlignment="1">
      <alignment vertical="center"/>
    </xf>
    <xf numFmtId="10" fontId="1" fillId="0" borderId="0" xfId="0" applyNumberFormat="1" applyFont="1" applyAlignment="1">
      <alignment vertical="center"/>
    </xf>
    <xf numFmtId="3" fontId="1" fillId="0" borderId="142" xfId="0" applyNumberFormat="1" applyFont="1" applyBorder="1" applyAlignment="1">
      <alignment vertical="center"/>
    </xf>
    <xf numFmtId="3" fontId="1" fillId="0" borderId="42" xfId="0" applyNumberFormat="1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138" xfId="0" applyFont="1" applyBorder="1" applyAlignment="1">
      <alignment horizontal="right" vertical="center"/>
    </xf>
    <xf numFmtId="0" fontId="1" fillId="0" borderId="138" xfId="0" applyFont="1" applyBorder="1" applyAlignment="1">
      <alignment vertical="center"/>
    </xf>
    <xf numFmtId="0" fontId="6" fillId="0" borderId="138" xfId="0" applyFont="1" applyFill="1" applyBorder="1" applyAlignment="1">
      <alignment horizontal="right" vertical="center"/>
    </xf>
    <xf numFmtId="3" fontId="2" fillId="0" borderId="139" xfId="0" applyNumberFormat="1" applyFont="1" applyBorder="1" applyAlignment="1">
      <alignment horizontal="right" vertical="center"/>
    </xf>
    <xf numFmtId="3" fontId="2" fillId="0" borderId="141" xfId="0" applyNumberFormat="1" applyFont="1" applyBorder="1" applyAlignment="1">
      <alignment vertical="center"/>
    </xf>
    <xf numFmtId="0" fontId="1" fillId="0" borderId="139" xfId="0" applyFont="1" applyFill="1" applyBorder="1" applyAlignment="1">
      <alignment vertical="center"/>
    </xf>
    <xf numFmtId="3" fontId="1" fillId="0" borderId="43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8" fontId="1" fillId="0" borderId="0" xfId="0" applyNumberFormat="1" applyFont="1" applyAlignment="1">
      <alignment vertical="center"/>
    </xf>
    <xf numFmtId="4" fontId="1" fillId="0" borderId="56" xfId="0" applyNumberFormat="1" applyFont="1" applyBorder="1" applyAlignment="1">
      <alignment vertical="center"/>
    </xf>
    <xf numFmtId="0" fontId="5" fillId="0" borderId="86" xfId="0" applyFont="1" applyFill="1" applyBorder="1" applyAlignment="1">
      <alignment horizontal="left" vertical="center"/>
    </xf>
    <xf numFmtId="0" fontId="5" fillId="0" borderId="138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 vertical="center" indent="1"/>
    </xf>
    <xf numFmtId="0" fontId="5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2" fillId="0" borderId="108" xfId="0" applyFont="1" applyBorder="1" applyAlignment="1">
      <alignment vertical="center"/>
    </xf>
    <xf numFmtId="0" fontId="2" fillId="0" borderId="108" xfId="0" applyFont="1" applyBorder="1" applyAlignment="1">
      <alignment horizontal="left" vertical="center"/>
    </xf>
    <xf numFmtId="0" fontId="4" fillId="0" borderId="108" xfId="0" applyFont="1" applyBorder="1" applyAlignment="1">
      <alignment horizontal="left" vertical="center"/>
    </xf>
    <xf numFmtId="3" fontId="1" fillId="0" borderId="13" xfId="0" applyNumberFormat="1" applyFont="1" applyBorder="1" applyAlignment="1">
      <alignment vertical="center"/>
    </xf>
    <xf numFmtId="0" fontId="1" fillId="0" borderId="84" xfId="0" applyFont="1" applyBorder="1" applyAlignment="1">
      <alignment vertical="center" wrapText="1"/>
    </xf>
    <xf numFmtId="0" fontId="1" fillId="0" borderId="49" xfId="0" applyFont="1" applyBorder="1" applyAlignment="1">
      <alignment vertical="center"/>
    </xf>
    <xf numFmtId="4" fontId="2" fillId="0" borderId="2" xfId="0" applyNumberFormat="1" applyFont="1" applyBorder="1" applyAlignment="1">
      <alignment vertical="center"/>
    </xf>
    <xf numFmtId="0" fontId="0" fillId="0" borderId="138" xfId="0" applyFont="1" applyFill="1" applyBorder="1" applyAlignment="1">
      <alignment horizontal="left" vertical="center"/>
    </xf>
    <xf numFmtId="0" fontId="0" fillId="0" borderId="138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0" fillId="0" borderId="14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19" fillId="0" borderId="147" xfId="0" applyFont="1" applyBorder="1" applyAlignment="1">
      <alignment horizontal="left" vertical="center"/>
    </xf>
    <xf numFmtId="0" fontId="17" fillId="0" borderId="143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" fillId="0" borderId="4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4" fontId="1" fillId="0" borderId="48" xfId="0" applyNumberFormat="1" applyFont="1" applyBorder="1" applyAlignment="1">
      <alignment vertical="center"/>
    </xf>
    <xf numFmtId="165" fontId="1" fillId="0" borderId="56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172" fontId="2" fillId="0" borderId="0" xfId="0" applyNumberFormat="1" applyFont="1" applyFill="1" applyBorder="1" applyAlignment="1">
      <alignment horizontal="right" vertical="center"/>
    </xf>
    <xf numFmtId="0" fontId="16" fillId="0" borderId="0" xfId="0" applyFont="1" applyBorder="1" applyAlignment="1">
      <alignment vertical="center"/>
    </xf>
    <xf numFmtId="3" fontId="10" fillId="0" borderId="0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109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0" fillId="0" borderId="32" xfId="0" applyNumberFormat="1" applyFont="1" applyBorder="1" applyAlignment="1">
      <alignment horizontal="center" vertical="center"/>
    </xf>
    <xf numFmtId="168" fontId="0" fillId="0" borderId="32" xfId="0" applyNumberFormat="1" applyFont="1" applyBorder="1" applyAlignment="1">
      <alignment horizontal="right" vertical="center"/>
    </xf>
    <xf numFmtId="0" fontId="1" fillId="0" borderId="109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1" fillId="0" borderId="172" xfId="0" applyFont="1" applyBorder="1" applyAlignment="1">
      <alignment vertical="center"/>
    </xf>
    <xf numFmtId="0" fontId="1" fillId="0" borderId="173" xfId="0" applyFont="1" applyBorder="1" applyAlignment="1">
      <alignment horizontal="right" vertical="center"/>
    </xf>
    <xf numFmtId="0" fontId="1" fillId="0" borderId="173" xfId="0" applyFont="1" applyBorder="1" applyAlignment="1">
      <alignment horizontal="center" vertical="center"/>
    </xf>
    <xf numFmtId="0" fontId="1" fillId="0" borderId="174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0" fontId="2" fillId="0" borderId="62" xfId="0" applyNumberFormat="1" applyFont="1" applyBorder="1" applyAlignment="1">
      <alignment vertical="center"/>
    </xf>
    <xf numFmtId="4" fontId="1" fillId="0" borderId="173" xfId="0" applyNumberFormat="1" applyFont="1" applyBorder="1" applyAlignment="1">
      <alignment vertical="center"/>
    </xf>
    <xf numFmtId="4" fontId="1" fillId="0" borderId="174" xfId="0" applyNumberFormat="1" applyFont="1" applyBorder="1" applyAlignment="1">
      <alignment vertical="center"/>
    </xf>
    <xf numFmtId="4" fontId="1" fillId="0" borderId="173" xfId="0" applyNumberFormat="1" applyFont="1" applyBorder="1" applyAlignment="1">
      <alignment horizontal="center" vertical="center"/>
    </xf>
    <xf numFmtId="4" fontId="1" fillId="0" borderId="174" xfId="0" applyNumberFormat="1" applyFont="1" applyBorder="1" applyAlignment="1">
      <alignment horizontal="center" vertical="center"/>
    </xf>
    <xf numFmtId="0" fontId="21" fillId="0" borderId="175" xfId="0" applyFont="1" applyFill="1" applyBorder="1" applyAlignment="1">
      <alignment vertical="center"/>
    </xf>
    <xf numFmtId="0" fontId="1" fillId="0" borderId="12" xfId="0" applyFont="1" applyBorder="1" applyAlignment="1">
      <alignment horizontal="right" vertical="center"/>
    </xf>
    <xf numFmtId="166" fontId="1" fillId="0" borderId="12" xfId="0" applyNumberFormat="1" applyFont="1" applyBorder="1" applyAlignment="1">
      <alignment horizontal="center" vertical="center"/>
    </xf>
    <xf numFmtId="166" fontId="1" fillId="0" borderId="13" xfId="0" applyNumberFormat="1" applyFont="1" applyBorder="1" applyAlignment="1">
      <alignment horizontal="center" vertical="center"/>
    </xf>
    <xf numFmtId="0" fontId="21" fillId="0" borderId="176" xfId="0" applyFont="1" applyFill="1" applyBorder="1" applyAlignment="1">
      <alignment vertical="center"/>
    </xf>
    <xf numFmtId="0" fontId="2" fillId="0" borderId="32" xfId="0" applyFont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188" xfId="0" applyFont="1" applyBorder="1" applyAlignment="1">
      <alignment horizontal="left" vertical="center"/>
    </xf>
    <xf numFmtId="0" fontId="0" fillId="0" borderId="193" xfId="0" applyFont="1" applyBorder="1" applyAlignment="1">
      <alignment horizontal="left" vertical="center"/>
    </xf>
    <xf numFmtId="0" fontId="1" fillId="0" borderId="112" xfId="0" applyFont="1" applyBorder="1" applyAlignment="1">
      <alignment horizontal="left" vertical="center"/>
    </xf>
    <xf numFmtId="0" fontId="1" fillId="7" borderId="0" xfId="0" applyFont="1" applyFill="1" applyAlignment="1">
      <alignment vertical="center"/>
    </xf>
    <xf numFmtId="173" fontId="18" fillId="3" borderId="131" xfId="0" applyNumberFormat="1" applyFont="1" applyFill="1" applyBorder="1" applyAlignment="1">
      <alignment horizontal="center" vertical="center"/>
    </xf>
    <xf numFmtId="0" fontId="6" fillId="0" borderId="29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/>
    </xf>
    <xf numFmtId="3" fontId="6" fillId="0" borderId="30" xfId="0" applyNumberFormat="1" applyFont="1" applyBorder="1" applyAlignment="1">
      <alignment vertical="center"/>
    </xf>
    <xf numFmtId="3" fontId="6" fillId="0" borderId="31" xfId="0" applyNumberFormat="1" applyFont="1" applyBorder="1" applyAlignment="1">
      <alignment vertical="center"/>
    </xf>
    <xf numFmtId="0" fontId="21" fillId="0" borderId="214" xfId="0" applyFont="1" applyFill="1" applyBorder="1" applyAlignment="1">
      <alignment horizontal="left" vertical="center" indent="1"/>
    </xf>
    <xf numFmtId="0" fontId="21" fillId="0" borderId="215" xfId="0" applyFont="1" applyFill="1" applyBorder="1" applyAlignment="1">
      <alignment horizontal="left" vertical="center" indent="1"/>
    </xf>
    <xf numFmtId="0" fontId="21" fillId="0" borderId="216" xfId="0" applyFont="1" applyFill="1" applyBorder="1" applyAlignment="1">
      <alignment horizontal="left" vertical="center" indent="1"/>
    </xf>
    <xf numFmtId="0" fontId="21" fillId="0" borderId="217" xfId="0" applyFont="1" applyFill="1" applyBorder="1" applyAlignment="1">
      <alignment horizontal="left" vertical="center" indent="1"/>
    </xf>
    <xf numFmtId="0" fontId="21" fillId="0" borderId="0" xfId="0" applyFont="1" applyFill="1" applyBorder="1" applyAlignment="1">
      <alignment vertical="center"/>
    </xf>
    <xf numFmtId="0" fontId="21" fillId="0" borderId="210" xfId="0" applyFont="1" applyFill="1" applyBorder="1" applyAlignment="1">
      <alignment vertical="center"/>
    </xf>
    <xf numFmtId="0" fontId="21" fillId="0" borderId="218" xfId="0" applyFont="1" applyFill="1" applyBorder="1" applyAlignment="1">
      <alignment vertical="center"/>
    </xf>
    <xf numFmtId="0" fontId="21" fillId="0" borderId="211" xfId="0" applyFont="1" applyFill="1" applyBorder="1" applyAlignment="1">
      <alignment vertical="center"/>
    </xf>
    <xf numFmtId="0" fontId="21" fillId="0" borderId="212" xfId="0" applyFont="1" applyFill="1" applyBorder="1" applyAlignment="1">
      <alignment vertical="center"/>
    </xf>
    <xf numFmtId="0" fontId="21" fillId="0" borderId="213" xfId="0" applyFont="1" applyFill="1" applyBorder="1" applyAlignment="1">
      <alignment vertical="center"/>
    </xf>
    <xf numFmtId="0" fontId="21" fillId="0" borderId="215" xfId="0" applyFont="1" applyFill="1" applyBorder="1" applyAlignment="1">
      <alignment vertical="center"/>
    </xf>
    <xf numFmtId="0" fontId="21" fillId="0" borderId="214" xfId="0" applyFont="1" applyFill="1" applyBorder="1" applyAlignment="1">
      <alignment vertical="center"/>
    </xf>
    <xf numFmtId="0" fontId="21" fillId="0" borderId="216" xfId="0" applyFont="1" applyFill="1" applyBorder="1" applyAlignment="1">
      <alignment vertical="center"/>
    </xf>
    <xf numFmtId="0" fontId="21" fillId="0" borderId="219" xfId="0" applyFont="1" applyFill="1" applyBorder="1" applyAlignment="1">
      <alignment vertical="center"/>
    </xf>
    <xf numFmtId="0" fontId="21" fillId="0" borderId="217" xfId="0" applyFont="1" applyFill="1" applyBorder="1" applyAlignment="1">
      <alignment vertical="center"/>
    </xf>
    <xf numFmtId="0" fontId="1" fillId="0" borderId="220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9" fillId="0" borderId="111" xfId="0" applyFont="1" applyBorder="1" applyAlignment="1">
      <alignment vertical="center"/>
    </xf>
    <xf numFmtId="0" fontId="21" fillId="0" borderId="212" xfId="0" applyFont="1" applyFill="1" applyBorder="1" applyAlignment="1">
      <alignment horizontal="left" vertical="center" indent="1"/>
    </xf>
    <xf numFmtId="0" fontId="21" fillId="0" borderId="213" xfId="0" applyFont="1" applyFill="1" applyBorder="1" applyAlignment="1">
      <alignment horizontal="left" vertical="center" indent="1"/>
    </xf>
    <xf numFmtId="0" fontId="3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2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10" fontId="2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vertical="center"/>
    </xf>
    <xf numFmtId="0" fontId="31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/>
    <xf numFmtId="0" fontId="0" fillId="0" borderId="187" xfId="0" applyFont="1" applyFill="1" applyBorder="1" applyAlignment="1">
      <alignment vertical="center"/>
    </xf>
    <xf numFmtId="0" fontId="0" fillId="0" borderId="188" xfId="0" applyFont="1" applyFill="1" applyBorder="1" applyAlignment="1">
      <alignment vertical="center"/>
    </xf>
    <xf numFmtId="0" fontId="1" fillId="0" borderId="188" xfId="0" applyFont="1" applyFill="1" applyBorder="1" applyAlignment="1">
      <alignment horizontal="left" vertical="center"/>
    </xf>
    <xf numFmtId="0" fontId="0" fillId="0" borderId="189" xfId="0" applyFont="1" applyFill="1" applyBorder="1" applyAlignment="1">
      <alignment vertical="center"/>
    </xf>
    <xf numFmtId="0" fontId="0" fillId="0" borderId="190" xfId="0" applyFont="1" applyFill="1" applyBorder="1" applyAlignment="1">
      <alignment vertical="center"/>
    </xf>
    <xf numFmtId="0" fontId="0" fillId="0" borderId="191" xfId="0" applyFont="1" applyFill="1" applyBorder="1" applyAlignment="1">
      <alignment vertical="center"/>
    </xf>
    <xf numFmtId="0" fontId="0" fillId="0" borderId="192" xfId="0" applyFont="1" applyFill="1" applyBorder="1" applyAlignment="1">
      <alignment vertical="center"/>
    </xf>
    <xf numFmtId="0" fontId="0" fillId="0" borderId="193" xfId="0" applyFont="1" applyFill="1" applyBorder="1" applyAlignment="1">
      <alignment vertical="center"/>
    </xf>
    <xf numFmtId="0" fontId="1" fillId="0" borderId="193" xfId="0" applyFont="1" applyFill="1" applyBorder="1" applyAlignment="1">
      <alignment horizontal="left" vertical="center"/>
    </xf>
    <xf numFmtId="0" fontId="0" fillId="0" borderId="194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86" xfId="0" applyFont="1" applyBorder="1" applyAlignment="1">
      <alignment vertical="center"/>
    </xf>
    <xf numFmtId="0" fontId="0" fillId="0" borderId="86" xfId="0" applyFont="1" applyFill="1" applyBorder="1" applyAlignment="1">
      <alignment vertical="center"/>
    </xf>
    <xf numFmtId="4" fontId="0" fillId="0" borderId="0" xfId="0" quotePrefix="1" applyNumberFormat="1" applyFont="1" applyAlignment="1">
      <alignment vertical="center"/>
    </xf>
    <xf numFmtId="10" fontId="0" fillId="0" borderId="0" xfId="0" quotePrefix="1" applyNumberFormat="1" applyFont="1" applyAlignme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140" xfId="0" applyFont="1" applyFill="1" applyBorder="1" applyAlignment="1">
      <alignment vertical="center"/>
    </xf>
    <xf numFmtId="0" fontId="0" fillId="0" borderId="155" xfId="0" applyFont="1" applyFill="1" applyBorder="1" applyAlignment="1">
      <alignment horizontal="left" vertical="center"/>
    </xf>
    <xf numFmtId="0" fontId="0" fillId="0" borderId="150" xfId="0" applyFont="1" applyFill="1" applyBorder="1" applyAlignment="1">
      <alignment vertical="center"/>
    </xf>
    <xf numFmtId="0" fontId="0" fillId="0" borderId="151" xfId="0" applyFont="1" applyFill="1" applyBorder="1" applyAlignment="1">
      <alignment vertical="center"/>
    </xf>
    <xf numFmtId="0" fontId="0" fillId="0" borderId="156" xfId="0" applyFont="1" applyFill="1" applyBorder="1" applyAlignment="1">
      <alignment horizontal="left" vertical="center"/>
    </xf>
    <xf numFmtId="0" fontId="0" fillId="0" borderId="152" xfId="0" applyFont="1" applyFill="1" applyBorder="1" applyAlignment="1">
      <alignment vertical="center"/>
    </xf>
    <xf numFmtId="0" fontId="36" fillId="0" borderId="0" xfId="0" applyFont="1" applyAlignment="1">
      <alignment horizontal="left" vertical="center"/>
    </xf>
    <xf numFmtId="0" fontId="12" fillId="0" borderId="143" xfId="0" applyFont="1" applyBorder="1" applyAlignment="1">
      <alignment horizontal="left" vertical="center"/>
    </xf>
    <xf numFmtId="10" fontId="34" fillId="0" borderId="131" xfId="0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10" fontId="34" fillId="0" borderId="171" xfId="1" applyNumberFormat="1" applyFont="1" applyBorder="1" applyAlignment="1">
      <alignment horizontal="right" vertical="center"/>
    </xf>
    <xf numFmtId="8" fontId="34" fillId="0" borderId="171" xfId="0" quotePrefix="1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118" xfId="0" applyFont="1" applyFill="1" applyBorder="1" applyAlignment="1">
      <alignment vertical="center"/>
    </xf>
    <xf numFmtId="0" fontId="1" fillId="0" borderId="119" xfId="0" applyFont="1" applyFill="1" applyBorder="1" applyAlignment="1">
      <alignment vertical="center"/>
    </xf>
    <xf numFmtId="0" fontId="1" fillId="0" borderId="116" xfId="0" applyFont="1" applyFill="1" applyBorder="1" applyAlignment="1">
      <alignment vertical="center"/>
    </xf>
    <xf numFmtId="0" fontId="1" fillId="0" borderId="117" xfId="0" applyFont="1" applyFill="1" applyBorder="1" applyAlignment="1">
      <alignment vertical="center"/>
    </xf>
    <xf numFmtId="0" fontId="1" fillId="0" borderId="125" xfId="0" applyFont="1" applyFill="1" applyBorder="1" applyAlignment="1">
      <alignment vertical="center"/>
    </xf>
    <xf numFmtId="0" fontId="1" fillId="0" borderId="126" xfId="0" applyFont="1" applyFill="1" applyBorder="1" applyAlignment="1">
      <alignment vertical="center"/>
    </xf>
    <xf numFmtId="0" fontId="2" fillId="0" borderId="86" xfId="0" applyFont="1" applyFill="1" applyBorder="1" applyAlignment="1">
      <alignment vertical="center"/>
    </xf>
    <xf numFmtId="0" fontId="2" fillId="0" borderId="128" xfId="0" applyFont="1" applyFill="1" applyBorder="1" applyAlignment="1">
      <alignment vertical="center"/>
    </xf>
    <xf numFmtId="10" fontId="2" fillId="0" borderId="129" xfId="1" applyNumberFormat="1" applyFont="1" applyFill="1" applyBorder="1" applyAlignment="1">
      <alignment horizontal="center" vertical="center"/>
    </xf>
    <xf numFmtId="0" fontId="1" fillId="0" borderId="122" xfId="0" applyFont="1" applyFill="1" applyBorder="1" applyAlignment="1">
      <alignment vertical="center"/>
    </xf>
    <xf numFmtId="0" fontId="1" fillId="0" borderId="123" xfId="0" applyFont="1" applyFill="1" applyBorder="1" applyAlignment="1">
      <alignment vertical="center"/>
    </xf>
    <xf numFmtId="0" fontId="0" fillId="0" borderId="54" xfId="0" applyFont="1" applyBorder="1" applyAlignment="1">
      <alignment horizontal="left" vertical="center" indent="2"/>
    </xf>
    <xf numFmtId="10" fontId="0" fillId="0" borderId="47" xfId="0" applyNumberFormat="1" applyFont="1" applyBorder="1" applyAlignment="1">
      <alignment horizontal="center" vertical="center"/>
    </xf>
    <xf numFmtId="10" fontId="0" fillId="0" borderId="55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indent="2"/>
    </xf>
    <xf numFmtId="10" fontId="0" fillId="0" borderId="27" xfId="0" applyNumberFormat="1" applyFont="1" applyBorder="1" applyAlignment="1">
      <alignment horizontal="center" vertical="center"/>
    </xf>
    <xf numFmtId="10" fontId="0" fillId="0" borderId="28" xfId="0" applyNumberFormat="1" applyFont="1" applyBorder="1" applyAlignment="1">
      <alignment horizontal="center" vertical="center"/>
    </xf>
    <xf numFmtId="10" fontId="0" fillId="0" borderId="27" xfId="0" applyNumberFormat="1" applyFont="1" applyFill="1" applyBorder="1" applyAlignment="1">
      <alignment horizontal="center" vertical="center"/>
    </xf>
    <xf numFmtId="10" fontId="0" fillId="0" borderId="28" xfId="0" applyNumberFormat="1" applyFont="1" applyFill="1" applyBorder="1" applyAlignment="1">
      <alignment horizontal="center" vertical="center"/>
    </xf>
    <xf numFmtId="10" fontId="0" fillId="0" borderId="48" xfId="0" applyNumberFormat="1" applyFont="1" applyFill="1" applyBorder="1" applyAlignment="1">
      <alignment horizontal="center" vertical="center"/>
    </xf>
    <xf numFmtId="10" fontId="0" fillId="0" borderId="56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left" vertical="center" indent="2"/>
    </xf>
    <xf numFmtId="10" fontId="0" fillId="0" borderId="24" xfId="0" applyNumberFormat="1" applyFont="1" applyBorder="1" applyAlignment="1">
      <alignment horizontal="center" vertical="center"/>
    </xf>
    <xf numFmtId="10" fontId="0" fillId="0" borderId="25" xfId="0" applyNumberFormat="1" applyFont="1" applyBorder="1" applyAlignment="1">
      <alignment horizontal="center" vertical="center"/>
    </xf>
    <xf numFmtId="3" fontId="3" fillId="0" borderId="164" xfId="0" applyNumberFormat="1" applyFont="1" applyBorder="1" applyAlignment="1">
      <alignment horizontal="right" vertical="center"/>
    </xf>
    <xf numFmtId="3" fontId="3" fillId="0" borderId="165" xfId="0" applyNumberFormat="1" applyFont="1" applyBorder="1" applyAlignment="1">
      <alignment horizontal="right" vertical="center"/>
    </xf>
    <xf numFmtId="3" fontId="3" fillId="0" borderId="166" xfId="0" applyNumberFormat="1" applyFont="1" applyBorder="1" applyAlignment="1">
      <alignment horizontal="right" vertical="center"/>
    </xf>
    <xf numFmtId="3" fontId="3" fillId="0" borderId="167" xfId="0" applyNumberFormat="1" applyFont="1" applyBorder="1" applyAlignment="1">
      <alignment horizontal="right" vertical="center"/>
    </xf>
    <xf numFmtId="3" fontId="3" fillId="0" borderId="168" xfId="0" applyNumberFormat="1" applyFont="1" applyBorder="1" applyAlignment="1">
      <alignment horizontal="right" vertical="center"/>
    </xf>
    <xf numFmtId="3" fontId="3" fillId="0" borderId="169" xfId="0" applyNumberFormat="1" applyFont="1" applyBorder="1" applyAlignment="1">
      <alignment horizontal="right" vertical="center"/>
    </xf>
    <xf numFmtId="3" fontId="3" fillId="0" borderId="180" xfId="0" applyNumberFormat="1" applyFont="1" applyBorder="1" applyAlignment="1">
      <alignment horizontal="right" vertical="center"/>
    </xf>
    <xf numFmtId="3" fontId="3" fillId="0" borderId="181" xfId="0" applyNumberFormat="1" applyFont="1" applyBorder="1" applyAlignment="1">
      <alignment horizontal="right" vertical="center"/>
    </xf>
    <xf numFmtId="3" fontId="3" fillId="0" borderId="182" xfId="0" applyNumberFormat="1" applyFont="1" applyBorder="1" applyAlignment="1">
      <alignment horizontal="right" vertical="center"/>
    </xf>
    <xf numFmtId="3" fontId="4" fillId="0" borderId="184" xfId="0" applyNumberFormat="1" applyFont="1" applyBorder="1" applyAlignment="1">
      <alignment horizontal="right" vertical="center"/>
    </xf>
    <xf numFmtId="3" fontId="4" fillId="0" borderId="185" xfId="0" applyNumberFormat="1" applyFont="1" applyBorder="1" applyAlignment="1">
      <alignment horizontal="right" vertical="center"/>
    </xf>
    <xf numFmtId="3" fontId="4" fillId="0" borderId="186" xfId="0" applyNumberFormat="1" applyFont="1" applyBorder="1" applyAlignment="1">
      <alignment horizontal="right" vertical="center"/>
    </xf>
    <xf numFmtId="0" fontId="12" fillId="2" borderId="32" xfId="0" applyFont="1" applyFill="1" applyBorder="1" applyAlignment="1">
      <alignment horizontal="center" vertical="center"/>
    </xf>
    <xf numFmtId="0" fontId="34" fillId="2" borderId="32" xfId="0" applyFont="1" applyFill="1" applyBorder="1" applyAlignment="1">
      <alignment vertical="center"/>
    </xf>
    <xf numFmtId="0" fontId="18" fillId="2" borderId="32" xfId="0" applyFont="1" applyFill="1" applyBorder="1" applyAlignment="1">
      <alignment horizontal="left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164" fontId="6" fillId="2" borderId="24" xfId="0" applyNumberFormat="1" applyFont="1" applyFill="1" applyBorder="1" applyAlignment="1">
      <alignment horizontal="center" vertical="center"/>
    </xf>
    <xf numFmtId="164" fontId="6" fillId="2" borderId="25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right" vertical="center"/>
    </xf>
    <xf numFmtId="164" fontId="2" fillId="2" borderId="24" xfId="0" applyNumberFormat="1" applyFont="1" applyFill="1" applyBorder="1" applyAlignment="1">
      <alignment horizontal="center" vertical="center"/>
    </xf>
    <xf numFmtId="164" fontId="2" fillId="2" borderId="25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 wrapText="1"/>
    </xf>
    <xf numFmtId="164" fontId="2" fillId="2" borderId="23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97" xfId="0" applyFont="1" applyFill="1" applyBorder="1" applyAlignment="1">
      <alignment horizontal="center" vertical="center"/>
    </xf>
    <xf numFmtId="164" fontId="2" fillId="2" borderId="98" xfId="0" applyNumberFormat="1" applyFont="1" applyFill="1" applyBorder="1" applyAlignment="1">
      <alignment horizontal="center" vertical="center"/>
    </xf>
    <xf numFmtId="164" fontId="2" fillId="2" borderId="99" xfId="0" applyNumberFormat="1" applyFont="1" applyFill="1" applyBorder="1" applyAlignment="1">
      <alignment horizontal="center" vertical="center"/>
    </xf>
    <xf numFmtId="164" fontId="2" fillId="2" borderId="100" xfId="0" applyNumberFormat="1" applyFont="1" applyFill="1" applyBorder="1" applyAlignment="1">
      <alignment horizontal="center" vertical="center"/>
    </xf>
    <xf numFmtId="164" fontId="2" fillId="2" borderId="67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169" fontId="4" fillId="2" borderId="59" xfId="0" applyNumberFormat="1" applyFont="1" applyFill="1" applyBorder="1" applyAlignment="1">
      <alignment horizontal="center" vertical="center" wrapText="1"/>
    </xf>
    <xf numFmtId="169" fontId="4" fillId="2" borderId="60" xfId="0" applyNumberFormat="1" applyFont="1" applyFill="1" applyBorder="1" applyAlignment="1">
      <alignment horizontal="center" vertical="center" wrapText="1"/>
    </xf>
    <xf numFmtId="169" fontId="4" fillId="2" borderId="61" xfId="0" applyNumberFormat="1" applyFont="1" applyFill="1" applyBorder="1" applyAlignment="1">
      <alignment horizontal="center" vertical="center" wrapText="1"/>
    </xf>
    <xf numFmtId="169" fontId="4" fillId="2" borderId="24" xfId="0" applyNumberFormat="1" applyFont="1" applyFill="1" applyBorder="1" applyAlignment="1">
      <alignment horizontal="center" vertical="center" wrapText="1"/>
    </xf>
    <xf numFmtId="169" fontId="4" fillId="2" borderId="25" xfId="0" applyNumberFormat="1" applyFont="1" applyFill="1" applyBorder="1" applyAlignment="1">
      <alignment horizontal="center" vertical="center" wrapText="1"/>
    </xf>
    <xf numFmtId="10" fontId="6" fillId="2" borderId="2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 wrapText="1"/>
    </xf>
    <xf numFmtId="169" fontId="12" fillId="2" borderId="115" xfId="0" applyNumberFormat="1" applyFont="1" applyFill="1" applyBorder="1" applyAlignment="1">
      <alignment horizontal="center" vertical="center" wrapText="1"/>
    </xf>
    <xf numFmtId="169" fontId="34" fillId="2" borderId="137" xfId="0" applyNumberFormat="1" applyFont="1" applyFill="1" applyBorder="1" applyAlignment="1">
      <alignment horizontal="center" vertical="center" wrapText="1"/>
    </xf>
    <xf numFmtId="169" fontId="4" fillId="2" borderId="113" xfId="0" applyNumberFormat="1" applyFont="1" applyFill="1" applyBorder="1" applyAlignment="1">
      <alignment horizontal="center" vertical="center" wrapText="1"/>
    </xf>
    <xf numFmtId="0" fontId="18" fillId="2" borderId="113" xfId="0" applyFont="1" applyFill="1" applyBorder="1" applyAlignment="1">
      <alignment vertical="center"/>
    </xf>
    <xf numFmtId="0" fontId="0" fillId="2" borderId="113" xfId="0" applyFont="1" applyFill="1" applyBorder="1" applyAlignment="1">
      <alignment vertical="center"/>
    </xf>
    <xf numFmtId="0" fontId="35" fillId="2" borderId="138" xfId="0" applyFont="1" applyFill="1" applyBorder="1" applyAlignment="1">
      <alignment horizontal="left" vertical="center"/>
    </xf>
    <xf numFmtId="0" fontId="17" fillId="2" borderId="138" xfId="0" applyFont="1" applyFill="1" applyBorder="1" applyAlignment="1">
      <alignment vertical="center"/>
    </xf>
    <xf numFmtId="0" fontId="17" fillId="2" borderId="170" xfId="0" applyFont="1" applyFill="1" applyBorder="1" applyAlignment="1">
      <alignment vertical="center"/>
    </xf>
    <xf numFmtId="168" fontId="0" fillId="8" borderId="32" xfId="0" applyNumberFormat="1" applyFont="1" applyFill="1" applyBorder="1" applyAlignment="1">
      <alignment horizontal="right" vertical="center"/>
    </xf>
    <xf numFmtId="10" fontId="1" fillId="8" borderId="120" xfId="1" applyNumberFormat="1" applyFont="1" applyFill="1" applyBorder="1" applyAlignment="1">
      <alignment horizontal="center" vertical="center"/>
    </xf>
    <xf numFmtId="10" fontId="1" fillId="8" borderId="121" xfId="1" applyNumberFormat="1" applyFont="1" applyFill="1" applyBorder="1" applyAlignment="1">
      <alignment horizontal="center" vertical="center"/>
    </xf>
    <xf numFmtId="10" fontId="1" fillId="8" borderId="127" xfId="1" applyNumberFormat="1" applyFont="1" applyFill="1" applyBorder="1" applyAlignment="1">
      <alignment horizontal="center" vertical="center"/>
    </xf>
    <xf numFmtId="10" fontId="1" fillId="8" borderId="124" xfId="1" applyNumberFormat="1" applyFont="1" applyFill="1" applyBorder="1" applyAlignment="1">
      <alignment horizontal="center" vertical="center"/>
    </xf>
    <xf numFmtId="10" fontId="0" fillId="8" borderId="47" xfId="0" applyNumberFormat="1" applyFont="1" applyFill="1" applyBorder="1" applyAlignment="1">
      <alignment horizontal="center" vertical="center"/>
    </xf>
    <xf numFmtId="10" fontId="0" fillId="8" borderId="27" xfId="0" applyNumberFormat="1" applyFont="1" applyFill="1" applyBorder="1" applyAlignment="1">
      <alignment horizontal="center" vertical="center"/>
    </xf>
    <xf numFmtId="10" fontId="0" fillId="8" borderId="48" xfId="0" applyNumberFormat="1" applyFont="1" applyFill="1" applyBorder="1" applyAlignment="1">
      <alignment horizontal="center" vertical="center"/>
    </xf>
    <xf numFmtId="0" fontId="0" fillId="8" borderId="53" xfId="0" applyFont="1" applyFill="1" applyBorder="1" applyAlignment="1">
      <alignment horizontal="left" vertical="center" indent="2"/>
    </xf>
    <xf numFmtId="0" fontId="2" fillId="8" borderId="42" xfId="0" applyFont="1" applyFill="1" applyBorder="1" applyAlignment="1">
      <alignment horizontal="center" vertical="center"/>
    </xf>
    <xf numFmtId="0" fontId="2" fillId="8" borderId="43" xfId="0" applyFont="1" applyFill="1" applyBorder="1" applyAlignment="1">
      <alignment horizontal="center" vertical="center"/>
    </xf>
    <xf numFmtId="166" fontId="1" fillId="8" borderId="8" xfId="0" applyNumberFormat="1" applyFont="1" applyFill="1" applyBorder="1" applyAlignment="1">
      <alignment vertical="center"/>
    </xf>
    <xf numFmtId="166" fontId="1" fillId="8" borderId="5" xfId="0" applyNumberFormat="1" applyFont="1" applyFill="1" applyBorder="1" applyAlignment="1">
      <alignment vertical="center"/>
    </xf>
    <xf numFmtId="4" fontId="1" fillId="8" borderId="21" xfId="0" applyNumberFormat="1" applyFont="1" applyFill="1" applyBorder="1" applyAlignment="1">
      <alignment vertical="center"/>
    </xf>
    <xf numFmtId="4" fontId="1" fillId="8" borderId="18" xfId="0" applyNumberFormat="1" applyFont="1" applyFill="1" applyBorder="1" applyAlignment="1">
      <alignment vertical="center"/>
    </xf>
    <xf numFmtId="4" fontId="1" fillId="8" borderId="30" xfId="0" applyNumberFormat="1" applyFont="1" applyFill="1" applyBorder="1" applyAlignment="1">
      <alignment vertical="center"/>
    </xf>
    <xf numFmtId="4" fontId="1" fillId="8" borderId="221" xfId="0" applyNumberFormat="1" applyFont="1" applyFill="1" applyBorder="1" applyAlignment="1">
      <alignment vertical="center"/>
    </xf>
    <xf numFmtId="166" fontId="1" fillId="8" borderId="21" xfId="0" applyNumberFormat="1" applyFont="1" applyFill="1" applyBorder="1" applyAlignment="1">
      <alignment horizontal="center" vertical="center"/>
    </xf>
    <xf numFmtId="166" fontId="1" fillId="8" borderId="12" xfId="0" applyNumberFormat="1" applyFont="1" applyFill="1" applyBorder="1" applyAlignment="1">
      <alignment horizontal="center" vertical="center"/>
    </xf>
    <xf numFmtId="3" fontId="1" fillId="8" borderId="21" xfId="0" applyNumberFormat="1" applyFont="1" applyFill="1" applyBorder="1" applyAlignment="1">
      <alignment vertical="center"/>
    </xf>
    <xf numFmtId="3" fontId="1" fillId="8" borderId="18" xfId="0" applyNumberFormat="1" applyFont="1" applyFill="1" applyBorder="1" applyAlignment="1">
      <alignment vertical="center"/>
    </xf>
    <xf numFmtId="3" fontId="1" fillId="8" borderId="30" xfId="0" applyNumberFormat="1" applyFont="1" applyFill="1" applyBorder="1" applyAlignment="1">
      <alignment vertical="center"/>
    </xf>
    <xf numFmtId="4" fontId="1" fillId="8" borderId="21" xfId="0" applyNumberFormat="1" applyFont="1" applyFill="1" applyBorder="1" applyAlignment="1">
      <alignment horizontal="center" vertical="center"/>
    </xf>
    <xf numFmtId="4" fontId="1" fillId="8" borderId="18" xfId="0" applyNumberFormat="1" applyFont="1" applyFill="1" applyBorder="1" applyAlignment="1">
      <alignment horizontal="center" vertical="center"/>
    </xf>
    <xf numFmtId="4" fontId="1" fillId="8" borderId="30" xfId="0" applyNumberFormat="1" applyFont="1" applyFill="1" applyBorder="1" applyAlignment="1">
      <alignment horizontal="center" vertical="center"/>
    </xf>
    <xf numFmtId="3" fontId="1" fillId="8" borderId="21" xfId="0" applyNumberFormat="1" applyFont="1" applyFill="1" applyBorder="1" applyAlignment="1">
      <alignment horizontal="center" vertical="center"/>
    </xf>
    <xf numFmtId="3" fontId="1" fillId="8" borderId="18" xfId="0" applyNumberFormat="1" applyFont="1" applyFill="1" applyBorder="1" applyAlignment="1">
      <alignment horizontal="center" vertical="center"/>
    </xf>
    <xf numFmtId="3" fontId="1" fillId="8" borderId="30" xfId="0" applyNumberFormat="1" applyFont="1" applyFill="1" applyBorder="1" applyAlignment="1">
      <alignment horizontal="center" vertical="center"/>
    </xf>
    <xf numFmtId="165" fontId="1" fillId="8" borderId="15" xfId="0" applyNumberFormat="1" applyFont="1" applyFill="1" applyBorder="1" applyAlignment="1">
      <alignment horizontal="center" vertical="center"/>
    </xf>
    <xf numFmtId="10" fontId="1" fillId="8" borderId="21" xfId="0" applyNumberFormat="1" applyFont="1" applyFill="1" applyBorder="1" applyAlignment="1">
      <alignment horizontal="center" vertical="center"/>
    </xf>
    <xf numFmtId="10" fontId="1" fillId="8" borderId="18" xfId="0" applyNumberFormat="1" applyFont="1" applyFill="1" applyBorder="1" applyAlignment="1">
      <alignment horizontal="center" vertical="center"/>
    </xf>
    <xf numFmtId="10" fontId="1" fillId="8" borderId="30" xfId="0" applyNumberFormat="1" applyFont="1" applyFill="1" applyBorder="1" applyAlignment="1">
      <alignment horizontal="center" vertical="center"/>
    </xf>
    <xf numFmtId="165" fontId="1" fillId="0" borderId="30" xfId="0" applyNumberFormat="1" applyFont="1" applyFill="1" applyBorder="1" applyAlignment="1">
      <alignment vertical="center"/>
    </xf>
    <xf numFmtId="0" fontId="38" fillId="0" borderId="0" xfId="0" applyFont="1"/>
    <xf numFmtId="3" fontId="2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vertical="top"/>
    </xf>
    <xf numFmtId="174" fontId="39" fillId="0" borderId="158" xfId="0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3" fontId="26" fillId="0" borderId="0" xfId="0" applyNumberFormat="1" applyFont="1" applyFill="1" applyBorder="1" applyAlignment="1">
      <alignment vertical="center"/>
    </xf>
    <xf numFmtId="0" fontId="28" fillId="0" borderId="0" xfId="0" applyFont="1" applyBorder="1" applyAlignment="1">
      <alignment horizontal="center" vertical="center"/>
    </xf>
    <xf numFmtId="4" fontId="3" fillId="0" borderId="0" xfId="0" applyNumberFormat="1" applyFont="1" applyBorder="1" applyAlignment="1">
      <alignment horizontal="right" vertical="center"/>
    </xf>
    <xf numFmtId="10" fontId="3" fillId="0" borderId="0" xfId="0" applyNumberFormat="1" applyFont="1" applyBorder="1" applyAlignment="1">
      <alignment vertical="center"/>
    </xf>
    <xf numFmtId="4" fontId="4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0" fillId="0" borderId="0" xfId="0" applyFont="1" applyBorder="1" applyAlignment="1">
      <alignment vertical="center"/>
    </xf>
    <xf numFmtId="176" fontId="29" fillId="0" borderId="0" xfId="0" applyNumberFormat="1" applyFont="1" applyBorder="1" applyAlignment="1">
      <alignment horizontal="center" vertical="center"/>
    </xf>
    <xf numFmtId="177" fontId="29" fillId="0" borderId="0" xfId="0" applyNumberFormat="1" applyFont="1" applyBorder="1" applyAlignment="1">
      <alignment horizontal="center" vertical="center"/>
    </xf>
    <xf numFmtId="178" fontId="29" fillId="0" borderId="0" xfId="0" applyNumberFormat="1" applyFont="1" applyBorder="1" applyAlignment="1">
      <alignment horizontal="center" vertical="center"/>
    </xf>
    <xf numFmtId="179" fontId="29" fillId="0" borderId="0" xfId="0" applyNumberFormat="1" applyFont="1" applyBorder="1" applyAlignment="1">
      <alignment horizontal="center" vertical="center"/>
    </xf>
    <xf numFmtId="180" fontId="29" fillId="0" borderId="0" xfId="0" applyNumberFormat="1" applyFont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43" fontId="1" fillId="0" borderId="0" xfId="14" applyFont="1" applyAlignment="1">
      <alignment vertical="center"/>
    </xf>
    <xf numFmtId="43" fontId="1" fillId="0" borderId="0" xfId="0" applyNumberFormat="1" applyFont="1" applyAlignment="1">
      <alignment vertical="center"/>
    </xf>
    <xf numFmtId="4" fontId="3" fillId="0" borderId="53" xfId="0" applyNumberFormat="1" applyFont="1" applyBorder="1" applyAlignment="1">
      <alignment horizontal="right" vertical="center"/>
    </xf>
    <xf numFmtId="10" fontId="3" fillId="0" borderId="53" xfId="0" applyNumberFormat="1" applyFont="1" applyBorder="1" applyAlignment="1">
      <alignment vertical="center"/>
    </xf>
    <xf numFmtId="0" fontId="9" fillId="0" borderId="65" xfId="0" applyFont="1" applyBorder="1" applyAlignment="1">
      <alignment horizontal="left" vertical="center"/>
    </xf>
    <xf numFmtId="0" fontId="9" fillId="0" borderId="163" xfId="0" applyFont="1" applyBorder="1" applyAlignment="1">
      <alignment horizontal="left" vertical="center"/>
    </xf>
    <xf numFmtId="0" fontId="9" fillId="0" borderId="66" xfId="0" applyFont="1" applyBorder="1" applyAlignment="1">
      <alignment horizontal="left" vertical="center"/>
    </xf>
    <xf numFmtId="0" fontId="9" fillId="0" borderId="65" xfId="0" applyFont="1" applyBorder="1" applyAlignment="1">
      <alignment vertical="center"/>
    </xf>
    <xf numFmtId="0" fontId="9" fillId="0" borderId="111" xfId="0" applyFont="1" applyBorder="1" applyAlignment="1">
      <alignment vertical="center"/>
    </xf>
    <xf numFmtId="0" fontId="9" fillId="0" borderId="66" xfId="0" applyFont="1" applyBorder="1" applyAlignment="1">
      <alignment vertical="center"/>
    </xf>
    <xf numFmtId="0" fontId="9" fillId="0" borderId="111" xfId="0" applyFont="1" applyBorder="1" applyAlignment="1">
      <alignment horizontal="left" vertical="center"/>
    </xf>
    <xf numFmtId="0" fontId="21" fillId="0" borderId="212" xfId="0" applyFont="1" applyFill="1" applyBorder="1" applyAlignment="1">
      <alignment horizontal="left" vertical="center" indent="1"/>
    </xf>
    <xf numFmtId="0" fontId="21" fillId="0" borderId="213" xfId="0" applyFont="1" applyFill="1" applyBorder="1" applyAlignment="1">
      <alignment horizontal="left" vertical="center" indent="1"/>
    </xf>
    <xf numFmtId="0" fontId="37" fillId="2" borderId="207" xfId="0" applyFont="1" applyFill="1" applyBorder="1" applyAlignment="1">
      <alignment horizontal="center" vertical="center"/>
    </xf>
    <xf numFmtId="0" fontId="37" fillId="2" borderId="208" xfId="0" applyFont="1" applyFill="1" applyBorder="1" applyAlignment="1">
      <alignment horizontal="center" vertical="center"/>
    </xf>
    <xf numFmtId="0" fontId="37" fillId="2" borderId="209" xfId="0" applyFont="1" applyFill="1" applyBorder="1" applyAlignment="1">
      <alignment horizontal="center" vertical="center"/>
    </xf>
    <xf numFmtId="0" fontId="21" fillId="0" borderId="210" xfId="0" applyFont="1" applyFill="1" applyBorder="1" applyAlignment="1">
      <alignment horizontal="left" vertical="center" indent="1"/>
    </xf>
    <xf numFmtId="0" fontId="21" fillId="0" borderId="211" xfId="0" applyFont="1" applyFill="1" applyBorder="1" applyAlignment="1">
      <alignment horizontal="left" vertical="center" indent="1"/>
    </xf>
    <xf numFmtId="0" fontId="21" fillId="0" borderId="0" xfId="0" applyFont="1" applyFill="1" applyBorder="1" applyAlignment="1">
      <alignment horizontal="left" vertical="center" indent="1"/>
    </xf>
    <xf numFmtId="0" fontId="37" fillId="2" borderId="200" xfId="0" applyFont="1" applyFill="1" applyBorder="1" applyAlignment="1">
      <alignment horizontal="center" vertical="center"/>
    </xf>
    <xf numFmtId="0" fontId="37" fillId="2" borderId="201" xfId="0" applyFont="1" applyFill="1" applyBorder="1" applyAlignment="1">
      <alignment horizontal="center" vertical="center"/>
    </xf>
    <xf numFmtId="0" fontId="20" fillId="0" borderId="195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197" xfId="0" applyFont="1" applyFill="1" applyBorder="1" applyAlignment="1">
      <alignment horizontal="center" vertical="center" wrapText="1"/>
    </xf>
    <xf numFmtId="0" fontId="20" fillId="0" borderId="198" xfId="0" applyFont="1" applyFill="1" applyBorder="1" applyAlignment="1">
      <alignment horizontal="center" vertical="center" wrapText="1"/>
    </xf>
    <xf numFmtId="0" fontId="1" fillId="3" borderId="204" xfId="0" applyFont="1" applyFill="1" applyBorder="1" applyAlignment="1">
      <alignment horizontal="center" vertical="center"/>
    </xf>
    <xf numFmtId="0" fontId="1" fillId="3" borderId="205" xfId="0" applyFont="1" applyFill="1" applyBorder="1" applyAlignment="1">
      <alignment horizontal="center" vertical="center"/>
    </xf>
    <xf numFmtId="0" fontId="1" fillId="3" borderId="206" xfId="0" applyFont="1" applyFill="1" applyBorder="1" applyAlignment="1">
      <alignment horizontal="center" vertical="center"/>
    </xf>
    <xf numFmtId="0" fontId="1" fillId="3" borderId="195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96" xfId="0" applyFont="1" applyFill="1" applyBorder="1" applyAlignment="1">
      <alignment horizontal="center" vertical="center"/>
    </xf>
    <xf numFmtId="0" fontId="1" fillId="3" borderId="197" xfId="0" applyFont="1" applyFill="1" applyBorder="1" applyAlignment="1">
      <alignment horizontal="center" vertical="center"/>
    </xf>
    <xf numFmtId="0" fontId="1" fillId="3" borderId="198" xfId="0" applyFont="1" applyFill="1" applyBorder="1" applyAlignment="1">
      <alignment horizontal="center" vertical="center"/>
    </xf>
    <xf numFmtId="0" fontId="1" fillId="3" borderId="199" xfId="0" applyFont="1" applyFill="1" applyBorder="1" applyAlignment="1">
      <alignment horizontal="center" vertical="center"/>
    </xf>
    <xf numFmtId="0" fontId="37" fillId="2" borderId="202" xfId="0" applyFont="1" applyFill="1" applyBorder="1" applyAlignment="1">
      <alignment horizontal="center" vertical="center"/>
    </xf>
    <xf numFmtId="0" fontId="37" fillId="2" borderId="20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0" borderId="101" xfId="0" applyFont="1" applyBorder="1" applyAlignment="1">
      <alignment horizontal="left" vertical="center"/>
    </xf>
    <xf numFmtId="0" fontId="1" fillId="0" borderId="102" xfId="0" applyFont="1" applyBorder="1" applyAlignment="1">
      <alignment horizontal="left" vertical="center"/>
    </xf>
    <xf numFmtId="0" fontId="1" fillId="0" borderId="7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96" xfId="0" applyFont="1" applyFill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1" fillId="0" borderId="107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2" fillId="2" borderId="107" xfId="0" applyFont="1" applyFill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2" borderId="40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 wrapText="1"/>
    </xf>
    <xf numFmtId="0" fontId="4" fillId="2" borderId="177" xfId="0" applyFont="1" applyFill="1" applyBorder="1" applyAlignment="1">
      <alignment horizontal="center" vertical="center" wrapText="1"/>
    </xf>
    <xf numFmtId="0" fontId="3" fillId="0" borderId="155" xfId="0" applyFont="1" applyBorder="1" applyAlignment="1">
      <alignment horizontal="left" vertical="center" wrapText="1"/>
    </xf>
    <xf numFmtId="0" fontId="3" fillId="0" borderId="17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79" xfId="0" applyFont="1" applyBorder="1" applyAlignment="1">
      <alignment horizontal="left" vertical="center" wrapText="1"/>
    </xf>
    <xf numFmtId="0" fontId="4" fillId="0" borderId="138" xfId="0" applyFont="1" applyBorder="1" applyAlignment="1">
      <alignment horizontal="center" vertical="center" wrapText="1"/>
    </xf>
    <xf numFmtId="0" fontId="4" fillId="0" borderId="183" xfId="0" applyFont="1" applyBorder="1" applyAlignment="1">
      <alignment horizontal="center" vertical="center" wrapText="1"/>
    </xf>
    <xf numFmtId="0" fontId="2" fillId="2" borderId="156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left" vertical="center" wrapText="1"/>
    </xf>
    <xf numFmtId="0" fontId="5" fillId="2" borderId="113" xfId="0" applyFont="1" applyFill="1" applyBorder="1" applyAlignment="1">
      <alignment horizontal="center" vertical="center"/>
    </xf>
    <xf numFmtId="0" fontId="5" fillId="2" borderId="114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left" vertical="center"/>
    </xf>
  </cellXfs>
  <cellStyles count="15">
    <cellStyle name="Hiperlink 2" xfId="6"/>
    <cellStyle name="Normal" xfId="0" builtinId="0"/>
    <cellStyle name="Normal 2" xfId="2"/>
    <cellStyle name="Normal 2 2" xfId="7"/>
    <cellStyle name="Normal 2 2 2" xfId="4"/>
    <cellStyle name="Normal 3 2" xfId="5"/>
    <cellStyle name="Normal 7" xfId="8"/>
    <cellStyle name="Porcentagem" xfId="1" builtinId="5"/>
    <cellStyle name="Porcentagem 2" xfId="9"/>
    <cellStyle name="Porcentagem 2 4" xfId="10"/>
    <cellStyle name="Separador de milhares" xfId="14" builtinId="3"/>
    <cellStyle name="Separador de milhares 4 2" xfId="11"/>
    <cellStyle name="Vírgula 2" xfId="3"/>
    <cellStyle name="Vírgula 2 2" xfId="12"/>
    <cellStyle name="Vírgula 2 3" xfId="13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499984740745262"/>
      </font>
    </dxf>
    <dxf>
      <font>
        <color theme="1" tint="0.499984740745262"/>
      </font>
    </dxf>
    <dxf>
      <font>
        <color theme="1" tint="0.499984740745262"/>
      </font>
    </dxf>
    <dxf>
      <font>
        <color theme="1" tint="0.499984740745262"/>
      </font>
    </dxf>
    <dxf>
      <font>
        <color theme="1" tint="0.499984740745262"/>
      </font>
    </dxf>
    <dxf>
      <font>
        <color theme="1" tint="0.49998474074526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99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hartsheet" Target="chartsheets/sheet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tx>
        <c:rich>
          <a:bodyPr/>
          <a:lstStyle/>
          <a:p>
            <a:pPr>
              <a:defRPr/>
            </a:pPr>
            <a:r>
              <a:rPr lang="pt-BR"/>
              <a:t>IDADE MÉDIA DE VEÍCULOS DA FROTA</a:t>
            </a:r>
          </a:p>
        </c:rich>
      </c:tx>
      <c:layout>
        <c:manualLayout>
          <c:xMode val="edge"/>
          <c:yMode val="edge"/>
          <c:x val="0.2271644942555365"/>
          <c:y val="1.0569105555737738E-2"/>
        </c:manualLayout>
      </c:layout>
      <c:overlay val="1"/>
    </c:title>
    <c:plotArea>
      <c:layout>
        <c:manualLayout>
          <c:layoutTarget val="inner"/>
          <c:xMode val="edge"/>
          <c:yMode val="edge"/>
          <c:x val="8.7194876395689597E-2"/>
          <c:y val="0.16086711272175772"/>
          <c:w val="0.89459128454465398"/>
          <c:h val="0.67402065586043691"/>
        </c:manualLayout>
      </c:layout>
      <c:barChart>
        <c:barDir val="col"/>
        <c:grouping val="clustered"/>
        <c:ser>
          <c:idx val="0"/>
          <c:order val="0"/>
          <c:tx>
            <c:strRef>
              <c:f>'7. INVESTIMENTO FROTA'!$X$179</c:f>
              <c:strCache>
                <c:ptCount val="1"/>
                <c:pt idx="0">
                  <c:v>Idade Média - MICROÔNIBUS</c:v>
                </c:pt>
              </c:strCache>
            </c:strRef>
          </c:tx>
          <c:cat>
            <c:strRef>
              <c:f>'7. INVESTIMENTO FROTA'!$Y$178:$AN$178</c:f>
              <c:strCache>
                <c:ptCount val="16"/>
                <c:pt idx="0">
                  <c:v>Pré-Operacional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  <c:pt idx="6">
                  <c:v>Ano 6</c:v>
                </c:pt>
                <c:pt idx="7">
                  <c:v>Ano 7</c:v>
                </c:pt>
                <c:pt idx="8">
                  <c:v>Ano 8</c:v>
                </c:pt>
                <c:pt idx="9">
                  <c:v>Ano 9</c:v>
                </c:pt>
                <c:pt idx="10">
                  <c:v>Ano 10</c:v>
                </c:pt>
                <c:pt idx="11">
                  <c:v>Ano 11</c:v>
                </c:pt>
                <c:pt idx="12">
                  <c:v>Ano 12</c:v>
                </c:pt>
                <c:pt idx="13">
                  <c:v>Ano 13</c:v>
                </c:pt>
                <c:pt idx="14">
                  <c:v>Ano 14</c:v>
                </c:pt>
                <c:pt idx="15">
                  <c:v>Ano 15</c:v>
                </c:pt>
              </c:strCache>
            </c:strRef>
          </c:cat>
          <c:val>
            <c:numRef>
              <c:f>'7. INVESTIMENTO FROTA'!$Y$179:$AN$179</c:f>
              <c:numCache>
                <c:formatCode>#,##0.00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0</c:v>
                </c:pt>
                <c:pt idx="14">
                  <c:v>1</c:v>
                </c:pt>
                <c:pt idx="15">
                  <c:v>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6CD-42FA-82C9-7EB94BC8843E}"/>
            </c:ext>
          </c:extLst>
        </c:ser>
        <c:ser>
          <c:idx val="1"/>
          <c:order val="1"/>
          <c:tx>
            <c:strRef>
              <c:f>'7. INVESTIMENTO FROTA'!$X$180</c:f>
              <c:strCache>
                <c:ptCount val="1"/>
                <c:pt idx="0">
                  <c:v>Idade Média - CONVENCIONAL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</c:spPr>
          <c:cat>
            <c:strRef>
              <c:f>'7. INVESTIMENTO FROTA'!$Y$178:$AN$178</c:f>
              <c:strCache>
                <c:ptCount val="16"/>
                <c:pt idx="0">
                  <c:v>Pré-Operacional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  <c:pt idx="6">
                  <c:v>Ano 6</c:v>
                </c:pt>
                <c:pt idx="7">
                  <c:v>Ano 7</c:v>
                </c:pt>
                <c:pt idx="8">
                  <c:v>Ano 8</c:v>
                </c:pt>
                <c:pt idx="9">
                  <c:v>Ano 9</c:v>
                </c:pt>
                <c:pt idx="10">
                  <c:v>Ano 10</c:v>
                </c:pt>
                <c:pt idx="11">
                  <c:v>Ano 11</c:v>
                </c:pt>
                <c:pt idx="12">
                  <c:v>Ano 12</c:v>
                </c:pt>
                <c:pt idx="13">
                  <c:v>Ano 13</c:v>
                </c:pt>
                <c:pt idx="14">
                  <c:v>Ano 14</c:v>
                </c:pt>
                <c:pt idx="15">
                  <c:v>Ano 15</c:v>
                </c:pt>
              </c:strCache>
            </c:strRef>
          </c:cat>
          <c:val>
            <c:numRef>
              <c:f>'7. INVESTIMENTO FROTA'!$Y$180:$AN$180</c:f>
              <c:numCache>
                <c:formatCode>#,##0.00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4.2</c:v>
                </c:pt>
                <c:pt idx="3">
                  <c:v>3.8</c:v>
                </c:pt>
                <c:pt idx="4">
                  <c:v>3.2</c:v>
                </c:pt>
                <c:pt idx="5">
                  <c:v>1.5</c:v>
                </c:pt>
                <c:pt idx="6">
                  <c:v>2.5</c:v>
                </c:pt>
                <c:pt idx="7">
                  <c:v>3.5</c:v>
                </c:pt>
                <c:pt idx="8">
                  <c:v>4.5</c:v>
                </c:pt>
                <c:pt idx="9">
                  <c:v>4.8</c:v>
                </c:pt>
                <c:pt idx="10">
                  <c:v>5</c:v>
                </c:pt>
                <c:pt idx="11">
                  <c:v>3.5</c:v>
                </c:pt>
                <c:pt idx="12">
                  <c:v>2.9</c:v>
                </c:pt>
                <c:pt idx="13">
                  <c:v>1.5</c:v>
                </c:pt>
                <c:pt idx="14">
                  <c:v>2.5</c:v>
                </c:pt>
                <c:pt idx="15">
                  <c:v>3.5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6CD-42FA-82C9-7EB94BC8843E}"/>
            </c:ext>
          </c:extLst>
        </c:ser>
        <c:ser>
          <c:idx val="2"/>
          <c:order val="2"/>
          <c:tx>
            <c:strRef>
              <c:f>'7. INVESTIMENTO FROTA'!$X$181</c:f>
              <c:strCache>
                <c:ptCount val="1"/>
                <c:pt idx="0">
                  <c:v>Idade Média - -</c:v>
                </c:pt>
              </c:strCache>
            </c:strRef>
          </c:tx>
          <c:cat>
            <c:strRef>
              <c:f>'7. INVESTIMENTO FROTA'!$Y$178:$AN$178</c:f>
              <c:strCache>
                <c:ptCount val="16"/>
                <c:pt idx="0">
                  <c:v>Pré-Operacional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  <c:pt idx="6">
                  <c:v>Ano 6</c:v>
                </c:pt>
                <c:pt idx="7">
                  <c:v>Ano 7</c:v>
                </c:pt>
                <c:pt idx="8">
                  <c:v>Ano 8</c:v>
                </c:pt>
                <c:pt idx="9">
                  <c:v>Ano 9</c:v>
                </c:pt>
                <c:pt idx="10">
                  <c:v>Ano 10</c:v>
                </c:pt>
                <c:pt idx="11">
                  <c:v>Ano 11</c:v>
                </c:pt>
                <c:pt idx="12">
                  <c:v>Ano 12</c:v>
                </c:pt>
                <c:pt idx="13">
                  <c:v>Ano 13</c:v>
                </c:pt>
                <c:pt idx="14">
                  <c:v>Ano 14</c:v>
                </c:pt>
                <c:pt idx="15">
                  <c:v>Ano 15</c:v>
                </c:pt>
              </c:strCache>
            </c:strRef>
          </c:cat>
          <c:val>
            <c:numRef>
              <c:f>'7. INVESTIMENTO FROTA'!$Y$181:$AN$181</c:f>
              <c:numCache>
                <c:formatCode>#,##0.00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6CD-42FA-82C9-7EB94BC8843E}"/>
            </c:ext>
          </c:extLst>
        </c:ser>
        <c:dLbls/>
        <c:axId val="125334272"/>
        <c:axId val="125336192"/>
      </c:barChart>
      <c:lineChart>
        <c:grouping val="standard"/>
        <c:ser>
          <c:idx val="3"/>
          <c:order val="3"/>
          <c:tx>
            <c:strRef>
              <c:f>'7. INVESTIMENTO FROTA'!$X$182</c:f>
              <c:strCache>
                <c:ptCount val="1"/>
                <c:pt idx="0">
                  <c:v>IDADE MÉDIA DA FROTA</c:v>
                </c:pt>
              </c:strCache>
            </c:strRef>
          </c:tx>
          <c:spPr>
            <a:ln w="44450"/>
          </c:spPr>
          <c:marker>
            <c:symbol val="none"/>
          </c:marker>
          <c:dLbls>
            <c:dLbl>
              <c:idx val="12"/>
              <c:layout>
                <c:manualLayout>
                  <c:x val="-2.2899799577386616E-2"/>
                  <c:y val="-1.2899634941429676E-2"/>
                </c:manualLayout>
              </c:layout>
              <c:dLblPos val="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6CD-42FA-82C9-7EB94BC8843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pt-BR"/>
              </a:p>
            </c:txPr>
            <c:dLblPos val="t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INVESTIMENTO FROTA'!$Y$178:$AN$178</c:f>
              <c:strCache>
                <c:ptCount val="16"/>
                <c:pt idx="0">
                  <c:v>Pré-Operacional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  <c:pt idx="6">
                  <c:v>Ano 6</c:v>
                </c:pt>
                <c:pt idx="7">
                  <c:v>Ano 7</c:v>
                </c:pt>
                <c:pt idx="8">
                  <c:v>Ano 8</c:v>
                </c:pt>
                <c:pt idx="9">
                  <c:v>Ano 9</c:v>
                </c:pt>
                <c:pt idx="10">
                  <c:v>Ano 10</c:v>
                </c:pt>
                <c:pt idx="11">
                  <c:v>Ano 11</c:v>
                </c:pt>
                <c:pt idx="12">
                  <c:v>Ano 12</c:v>
                </c:pt>
                <c:pt idx="13">
                  <c:v>Ano 13</c:v>
                </c:pt>
                <c:pt idx="14">
                  <c:v>Ano 14</c:v>
                </c:pt>
                <c:pt idx="15">
                  <c:v>Ano 15</c:v>
                </c:pt>
              </c:strCache>
            </c:strRef>
          </c:cat>
          <c:val>
            <c:numRef>
              <c:f>'7. INVESTIMENTO FROTA'!$Y$182:$AN$182</c:f>
              <c:numCache>
                <c:formatCode>#,##0.00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4.7142857142857144</c:v>
                </c:pt>
                <c:pt idx="3">
                  <c:v>4.7142857142857144</c:v>
                </c:pt>
                <c:pt idx="4">
                  <c:v>4.5714285714285712</c:v>
                </c:pt>
                <c:pt idx="5">
                  <c:v>1.0714285714285714</c:v>
                </c:pt>
                <c:pt idx="6">
                  <c:v>2.0714285714285716</c:v>
                </c:pt>
                <c:pt idx="7">
                  <c:v>3.0714285714285716</c:v>
                </c:pt>
                <c:pt idx="8">
                  <c:v>4.0714285714285712</c:v>
                </c:pt>
                <c:pt idx="9">
                  <c:v>4.5714285714285712</c:v>
                </c:pt>
                <c:pt idx="10">
                  <c:v>5</c:v>
                </c:pt>
                <c:pt idx="11">
                  <c:v>4.2142857142857144</c:v>
                </c:pt>
                <c:pt idx="12">
                  <c:v>4.0714285714285712</c:v>
                </c:pt>
                <c:pt idx="13">
                  <c:v>1.0714285714285714</c:v>
                </c:pt>
                <c:pt idx="14">
                  <c:v>2.0714285714285716</c:v>
                </c:pt>
                <c:pt idx="15">
                  <c:v>3.0714285714285716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D6CD-42FA-82C9-7EB94BC8843E}"/>
            </c:ext>
          </c:extLst>
        </c:ser>
        <c:ser>
          <c:idx val="4"/>
          <c:order val="4"/>
          <c:tx>
            <c:strRef>
              <c:f>'7. INVESTIMENTO FROTA'!$X$183</c:f>
              <c:strCache>
                <c:ptCount val="1"/>
                <c:pt idx="0">
                  <c:v>LIMITE IDADE MÉDIA</c:v>
                </c:pt>
              </c:strCache>
            </c:strRef>
          </c:tx>
          <c:spPr>
            <a:ln w="44450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1"/>
              <c:layout>
                <c:manualLayout>
                  <c:x val="-6.3189875937002926E-2"/>
                  <c:y val="-1.6910568889180376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6CD-42FA-82C9-7EB94BC8843E}"/>
                </c:ext>
              </c:extLst>
            </c:dLbl>
            <c:delete val="1"/>
            <c:spPr>
              <a:noFill/>
              <a:ln>
                <a:noFill/>
              </a:ln>
              <a:effectLst/>
            </c:spP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INVESTIMENTO FROTA'!$Y$178:$AN$178</c:f>
              <c:strCache>
                <c:ptCount val="16"/>
                <c:pt idx="0">
                  <c:v>Pré-Operacional</c:v>
                </c:pt>
                <c:pt idx="1">
                  <c:v>Ano 1</c:v>
                </c:pt>
                <c:pt idx="2">
                  <c:v>Ano 2</c:v>
                </c:pt>
                <c:pt idx="3">
                  <c:v>Ano 3</c:v>
                </c:pt>
                <c:pt idx="4">
                  <c:v>Ano 4</c:v>
                </c:pt>
                <c:pt idx="5">
                  <c:v>Ano 5</c:v>
                </c:pt>
                <c:pt idx="6">
                  <c:v>Ano 6</c:v>
                </c:pt>
                <c:pt idx="7">
                  <c:v>Ano 7</c:v>
                </c:pt>
                <c:pt idx="8">
                  <c:v>Ano 8</c:v>
                </c:pt>
                <c:pt idx="9">
                  <c:v>Ano 9</c:v>
                </c:pt>
                <c:pt idx="10">
                  <c:v>Ano 10</c:v>
                </c:pt>
                <c:pt idx="11">
                  <c:v>Ano 11</c:v>
                </c:pt>
                <c:pt idx="12">
                  <c:v>Ano 12</c:v>
                </c:pt>
                <c:pt idx="13">
                  <c:v>Ano 13</c:v>
                </c:pt>
                <c:pt idx="14">
                  <c:v>Ano 14</c:v>
                </c:pt>
                <c:pt idx="15">
                  <c:v>Ano 15</c:v>
                </c:pt>
              </c:strCache>
            </c:strRef>
          </c:cat>
          <c:val>
            <c:numRef>
              <c:f>'7. INVESTIMENTO FROTA'!$Y$183:$AN$183</c:f>
              <c:numCache>
                <c:formatCode>General</c:formatCode>
                <c:ptCount val="16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D6CD-42FA-82C9-7EB94BC8843E}"/>
            </c:ext>
          </c:extLst>
        </c:ser>
        <c:dLbls/>
        <c:marker val="1"/>
        <c:axId val="125334272"/>
        <c:axId val="125336192"/>
      </c:lineChart>
      <c:catAx>
        <c:axId val="1253342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PERÍODO DE CONCESSÃO</a:t>
                </a:r>
              </a:p>
            </c:rich>
          </c:tx>
          <c:layout>
            <c:manualLayout>
              <c:xMode val="edge"/>
              <c:yMode val="edge"/>
              <c:x val="0.46529102223825464"/>
              <c:y val="0.93826577122763166"/>
            </c:manualLayout>
          </c:layout>
        </c:title>
        <c:numFmt formatCode="General" sourceLinked="0"/>
        <c:tickLblPos val="nextTo"/>
        <c:crossAx val="125336192"/>
        <c:crosses val="autoZero"/>
        <c:auto val="1"/>
        <c:lblAlgn val="ctr"/>
        <c:lblOffset val="100"/>
      </c:catAx>
      <c:valAx>
        <c:axId val="125336192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pt-BR"/>
                  <a:t>ANOS</a:t>
                </a:r>
              </a:p>
            </c:rich>
          </c:tx>
          <c:layout>
            <c:manualLayout>
              <c:xMode val="edge"/>
              <c:yMode val="edge"/>
              <c:x val="1.9060517056135463E-2"/>
              <c:y val="0.46602748267041222"/>
            </c:manualLayout>
          </c:layout>
        </c:title>
        <c:numFmt formatCode="#,##0.00" sourceLinked="1"/>
        <c:tickLblPos val="nextTo"/>
        <c:crossAx val="1253342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6325450665820915"/>
          <c:y val="3.8748837606442106E-2"/>
          <c:w val="0.23279612609572936"/>
          <c:h val="0.19112022033006568"/>
        </c:manualLayout>
      </c:layout>
    </c:legend>
    <c:plotVisOnly val="1"/>
    <c:dispBlanksAs val="gap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4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28575</xdr:rowOff>
    </xdr:from>
    <xdr:to>
      <xdr:col>1</xdr:col>
      <xdr:colOff>1533525</xdr:colOff>
      <xdr:row>1</xdr:row>
      <xdr:rowOff>685800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1</xdr:row>
      <xdr:rowOff>85725</xdr:rowOff>
    </xdr:from>
    <xdr:to>
      <xdr:col>3</xdr:col>
      <xdr:colOff>1257301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1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1257300</xdr:colOff>
      <xdr:row>4</xdr:row>
      <xdr:rowOff>161925</xdr:rowOff>
    </xdr:to>
    <xdr:pic>
      <xdr:nvPicPr>
        <xdr:cNvPr id="3" name="Imagem 2" descr="ooxWord://word/media/image2.jpe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238125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85725</xdr:rowOff>
    </xdr:from>
    <xdr:to>
      <xdr:col>3</xdr:col>
      <xdr:colOff>1209675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85725</xdr:rowOff>
    </xdr:from>
    <xdr:to>
      <xdr:col>4</xdr:col>
      <xdr:colOff>228600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85725</xdr:rowOff>
    </xdr:from>
    <xdr:to>
      <xdr:col>3</xdr:col>
      <xdr:colOff>1209675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85725</xdr:rowOff>
    </xdr:from>
    <xdr:to>
      <xdr:col>3</xdr:col>
      <xdr:colOff>1219200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85725</xdr:rowOff>
    </xdr:from>
    <xdr:to>
      <xdr:col>3</xdr:col>
      <xdr:colOff>1219200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85725</xdr:rowOff>
    </xdr:from>
    <xdr:to>
      <xdr:col>3</xdr:col>
      <xdr:colOff>1181100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0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85725</xdr:rowOff>
    </xdr:from>
    <xdr:to>
      <xdr:col>3</xdr:col>
      <xdr:colOff>1190625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4775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85725</xdr:rowOff>
    </xdr:from>
    <xdr:to>
      <xdr:col>1</xdr:col>
      <xdr:colOff>1543050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" y="276225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85725</xdr:rowOff>
    </xdr:from>
    <xdr:to>
      <xdr:col>3</xdr:col>
      <xdr:colOff>285750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4775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1</xdr:row>
      <xdr:rowOff>85725</xdr:rowOff>
    </xdr:from>
    <xdr:to>
      <xdr:col>4</xdr:col>
      <xdr:colOff>1</xdr:colOff>
      <xdr:row>4</xdr:row>
      <xdr:rowOff>171450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251" y="247650"/>
          <a:ext cx="1504950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</xdr:row>
      <xdr:rowOff>87967</xdr:rowOff>
    </xdr:from>
    <xdr:to>
      <xdr:col>3</xdr:col>
      <xdr:colOff>1367117</xdr:colOff>
      <xdr:row>4</xdr:row>
      <xdr:rowOff>173692</xdr:rowOff>
    </xdr:to>
    <xdr:pic>
      <xdr:nvPicPr>
        <xdr:cNvPr id="2" name="Imagem 1" descr="ooxWord://word/media/image2.jpeg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1925" y="278467"/>
          <a:ext cx="1500467" cy="657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9640845" cy="60110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0.41724</cdr:x>
      <cdr:y>0.25772</cdr:y>
    </cdr:from>
    <cdr:to>
      <cdr:x>0.57673</cdr:x>
      <cdr:y>0.3756</cdr:y>
    </cdr:to>
    <cdr:sp macro="" textlink="">
      <cdr:nvSpPr>
        <cdr:cNvPr id="2" name="Texto explicativo retangular com cantos arredondados 1"/>
        <cdr:cNvSpPr/>
      </cdr:nvSpPr>
      <cdr:spPr>
        <a:xfrm xmlns:a="http://schemas.openxmlformats.org/drawingml/2006/main">
          <a:off x="4024399" y="1551531"/>
          <a:ext cx="1538316" cy="709658"/>
        </a:xfrm>
        <a:prstGeom xmlns:a="http://schemas.openxmlformats.org/drawingml/2006/main" prst="wedgeRoundRectCallout">
          <a:avLst>
            <a:gd name="adj1" fmla="val -52735"/>
            <a:gd name="adj2" fmla="val 117543"/>
            <a:gd name="adj3" fmla="val 16667"/>
          </a:avLst>
        </a:prstGeom>
        <a:solidFill xmlns:a="http://schemas.openxmlformats.org/drawingml/2006/main">
          <a:schemeClr val="bg2"/>
        </a:soli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r>
            <a:rPr lang="pt-BR" b="1">
              <a:solidFill>
                <a:schemeClr val="tx1">
                  <a:lumMod val="50000"/>
                  <a:lumOff val="50000"/>
                </a:schemeClr>
              </a:solidFill>
            </a:rPr>
            <a:t>IDADE MÉDIA</a:t>
          </a:r>
          <a:r>
            <a:rPr lang="pt-BR" b="1" baseline="0">
              <a:solidFill>
                <a:schemeClr val="tx1">
                  <a:lumMod val="50000"/>
                  <a:lumOff val="50000"/>
                </a:schemeClr>
              </a:solidFill>
            </a:rPr>
            <a:t> LIMITE ACEITAVEL 5 ANOS</a:t>
          </a:r>
          <a:endParaRPr lang="pt-BR" b="1">
            <a:solidFill>
              <a:schemeClr val="tx1">
                <a:lumMod val="50000"/>
                <a:lumOff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0.81496</cdr:x>
      <cdr:y>0.24578</cdr:y>
    </cdr:from>
    <cdr:to>
      <cdr:x>0.98738</cdr:x>
      <cdr:y>0.40589</cdr:y>
    </cdr:to>
    <cdr:sp macro="" textlink="">
      <cdr:nvSpPr>
        <cdr:cNvPr id="3" name="Texto explicativo retangular com cantos arredondados 2"/>
        <cdr:cNvSpPr/>
      </cdr:nvSpPr>
      <cdr:spPr>
        <a:xfrm xmlns:a="http://schemas.openxmlformats.org/drawingml/2006/main">
          <a:off x="7860437" y="1479612"/>
          <a:ext cx="1663096" cy="963904"/>
        </a:xfrm>
        <a:prstGeom xmlns:a="http://schemas.openxmlformats.org/drawingml/2006/main" prst="wedgeRoundRectCallout">
          <a:avLst>
            <a:gd name="adj1" fmla="val -49745"/>
            <a:gd name="adj2" fmla="val 192923"/>
            <a:gd name="adj3" fmla="val 16667"/>
          </a:avLst>
        </a:prstGeom>
        <a:solidFill xmlns:a="http://schemas.openxmlformats.org/drawingml/2006/main">
          <a:schemeClr val="bg2"/>
        </a:soli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pt-BR" b="1">
              <a:solidFill>
                <a:schemeClr val="tx1">
                  <a:lumMod val="50000"/>
                  <a:lumOff val="50000"/>
                </a:schemeClr>
              </a:solidFill>
            </a:rPr>
            <a:t>ESSA</a:t>
          </a:r>
          <a:r>
            <a:rPr lang="pt-BR" b="1" baseline="0">
              <a:solidFill>
                <a:schemeClr val="tx1">
                  <a:lumMod val="50000"/>
                  <a:lumOff val="50000"/>
                </a:schemeClr>
              </a:solidFill>
            </a:rPr>
            <a:t> LINHA: IDADE MÉDIA DA FROTA NÃO PODERÁ ULTRAPASSAR A LINHA LIMITE</a:t>
          </a:r>
          <a:endParaRPr lang="pt-BR" b="1">
            <a:solidFill>
              <a:schemeClr val="tx1">
                <a:lumMod val="50000"/>
                <a:lumOff val="50000"/>
              </a:schemeClr>
            </a:solidFill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1</xdr:row>
      <xdr:rowOff>85725</xdr:rowOff>
    </xdr:from>
    <xdr:ext cx="1501342" cy="644087"/>
    <xdr:pic>
      <xdr:nvPicPr>
        <xdr:cNvPr id="3" name="Imagem 2" descr="ooxWord://word/media/image2.jpeg">
          <a:extLst>
            <a:ext uri="{FF2B5EF4-FFF2-40B4-BE49-F238E27FC236}">
              <a16:creationId xmlns:a16="http://schemas.microsoft.com/office/drawing/2014/main" xmlns="" id="{6108B388-143E-45F4-B581-3D558147B2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2875" y="285750"/>
          <a:ext cx="1501342" cy="64408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ravperrucci\Downloads\ANEXO%20V.1.%20-%20MODELO%20DE%20PLANILHA%20DE%20FLUXO%20DE%20CAIXA%20A%20SER%20PREENCHIDA%20-%20PROPOSTA%20DE%20PRE&#199;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TIPOLOGIA"/>
      <sheetName val="1. DADOS OPERACIONAIS"/>
      <sheetName val="2. COEFICIENTES"/>
      <sheetName val="3. PREÇOS INSUMOS"/>
      <sheetName val="4. CUSTOS VARIÁVEIS"/>
      <sheetName val="5. CUSTOS FIXOS (PESSOAL)"/>
      <sheetName val="6. CUSTOS ADMINISTRATIVOS"/>
      <sheetName val="7. INVESTIMENTO FROTA"/>
      <sheetName val="8. DEPRECIAÇÃO DE FROTA"/>
      <sheetName val="9. ENCARGOS SOCIAIS"/>
      <sheetName val="10. TRIBUTAÇÃO E IMPOSTOS"/>
      <sheetName val="11. RECEITA ACESSORIA"/>
      <sheetName val="12. FLUXO DE CAIXA"/>
      <sheetName val="13. REFERÊNCIAS (2)"/>
      <sheetName val="Gráf1 - IDADE MÉDIA"/>
    </sheetNames>
    <sheetDataSet>
      <sheetData sheetId="0">
        <row r="2">
          <cell r="C2" t="str">
            <v>ESTUDO TÉCNICO DE VIABILIDADE ECONÔMICA DA OPERAÇÃO DOS SERVIÇOS DE TRANSPORTE COLETIVO DA CIDADE DE AMPARO</v>
          </cell>
        </row>
        <row r="3">
          <cell r="B3" t="str">
            <v>CONCORRÊNCIA Nº 003/18</v>
          </cell>
          <cell r="C3" t="str">
            <v>ANEXO V.1 - MODELO DE PLANILHA DE FLUXO DE CAIXA A SER PREENCHIDA - PROPOSTA DE PREÇO</v>
          </cell>
        </row>
        <row r="4">
          <cell r="B4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C176"/>
  <sheetViews>
    <sheetView showGridLines="0" view="pageBreakPreview" zoomScale="130" zoomScaleNormal="130" zoomScaleSheetLayoutView="130" workbookViewId="0">
      <selection activeCell="C11" sqref="C11"/>
    </sheetView>
  </sheetViews>
  <sheetFormatPr defaultRowHeight="12.75"/>
  <cols>
    <col min="1" max="1" width="1" style="2" customWidth="1"/>
    <col min="2" max="2" width="27.5703125" style="267" customWidth="1"/>
    <col min="3" max="3" width="81.140625" style="2" customWidth="1"/>
    <col min="4" max="16384" width="9.140625" style="2"/>
  </cols>
  <sheetData>
    <row r="2" spans="2:3" ht="54.95" customHeight="1">
      <c r="B2" s="421"/>
      <c r="C2" s="421" t="s">
        <v>527</v>
      </c>
    </row>
    <row r="3" spans="2:3" ht="15">
      <c r="B3" s="309" t="s">
        <v>464</v>
      </c>
      <c r="C3" s="492" t="s">
        <v>478</v>
      </c>
    </row>
    <row r="4" spans="2:3">
      <c r="B4" s="309"/>
    </row>
    <row r="5" spans="2:3" ht="15">
      <c r="C5" s="268" t="s">
        <v>506</v>
      </c>
    </row>
    <row r="6" spans="2:3" ht="15.75">
      <c r="B6" s="280" t="s">
        <v>213</v>
      </c>
    </row>
    <row r="8" spans="2:3" ht="18" customHeight="1">
      <c r="B8" s="563" t="s">
        <v>207</v>
      </c>
      <c r="C8" s="563" t="s">
        <v>208</v>
      </c>
    </row>
    <row r="9" spans="2:3" ht="24.95" customHeight="1">
      <c r="B9" s="477" t="s">
        <v>209</v>
      </c>
      <c r="C9" s="274" t="s">
        <v>12</v>
      </c>
    </row>
    <row r="10" spans="2:3">
      <c r="B10" s="665" t="s">
        <v>442</v>
      </c>
      <c r="C10" s="393" t="s">
        <v>0</v>
      </c>
    </row>
    <row r="11" spans="2:3">
      <c r="B11" s="666"/>
      <c r="C11" s="269" t="s">
        <v>1</v>
      </c>
    </row>
    <row r="12" spans="2:3">
      <c r="B12" s="666"/>
      <c r="C12" s="269" t="s">
        <v>2</v>
      </c>
    </row>
    <row r="13" spans="2:3">
      <c r="B13" s="666"/>
      <c r="C13" s="273" t="s">
        <v>211</v>
      </c>
    </row>
    <row r="14" spans="2:3">
      <c r="B14" s="667"/>
      <c r="C14" s="271" t="s">
        <v>18</v>
      </c>
    </row>
    <row r="15" spans="2:3">
      <c r="B15" s="665" t="s">
        <v>441</v>
      </c>
      <c r="C15" s="391" t="s">
        <v>276</v>
      </c>
    </row>
    <row r="16" spans="2:3">
      <c r="B16" s="666"/>
      <c r="C16" s="270" t="s">
        <v>277</v>
      </c>
    </row>
    <row r="17" spans="2:3">
      <c r="B17" s="666"/>
      <c r="C17" s="270" t="s">
        <v>303</v>
      </c>
    </row>
    <row r="18" spans="2:3">
      <c r="B18" s="666"/>
      <c r="C18" s="270" t="s">
        <v>304</v>
      </c>
    </row>
    <row r="19" spans="2:3">
      <c r="B19" s="666"/>
      <c r="C19" s="270" t="s">
        <v>278</v>
      </c>
    </row>
    <row r="20" spans="2:3">
      <c r="B20" s="666"/>
      <c r="C20" s="270" t="s">
        <v>279</v>
      </c>
    </row>
    <row r="21" spans="2:3">
      <c r="B21" s="666"/>
      <c r="C21" s="270" t="s">
        <v>280</v>
      </c>
    </row>
    <row r="22" spans="2:3">
      <c r="B22" s="666"/>
      <c r="C22" s="270" t="s">
        <v>281</v>
      </c>
    </row>
    <row r="23" spans="2:3">
      <c r="B23" s="666"/>
      <c r="C23" s="270" t="s">
        <v>282</v>
      </c>
    </row>
    <row r="24" spans="2:3">
      <c r="B24" s="666"/>
      <c r="C24" s="270" t="s">
        <v>283</v>
      </c>
    </row>
    <row r="25" spans="2:3">
      <c r="B25" s="666"/>
      <c r="C25" s="270" t="s">
        <v>284</v>
      </c>
    </row>
    <row r="26" spans="2:3">
      <c r="B26" s="666"/>
      <c r="C26" s="270" t="s">
        <v>472</v>
      </c>
    </row>
    <row r="27" spans="2:3">
      <c r="B27" s="666"/>
      <c r="C27" s="270" t="s">
        <v>285</v>
      </c>
    </row>
    <row r="28" spans="2:3">
      <c r="B28" s="666"/>
      <c r="C28" s="270" t="s">
        <v>286</v>
      </c>
    </row>
    <row r="29" spans="2:3">
      <c r="B29" s="666"/>
      <c r="C29" s="270" t="s">
        <v>287</v>
      </c>
    </row>
    <row r="30" spans="2:3">
      <c r="B30" s="666"/>
      <c r="C30" s="270" t="s">
        <v>414</v>
      </c>
    </row>
    <row r="31" spans="2:3">
      <c r="B31" s="666"/>
      <c r="C31" s="270" t="s">
        <v>415</v>
      </c>
    </row>
    <row r="32" spans="2:3">
      <c r="B32" s="666"/>
      <c r="C32" s="270" t="s">
        <v>416</v>
      </c>
    </row>
    <row r="33" spans="2:3">
      <c r="B33" s="666"/>
      <c r="C33" s="270" t="s">
        <v>417</v>
      </c>
    </row>
    <row r="34" spans="2:3">
      <c r="B34" s="666"/>
      <c r="C34" s="270" t="s">
        <v>418</v>
      </c>
    </row>
    <row r="35" spans="2:3">
      <c r="B35" s="666"/>
      <c r="C35" s="270" t="s">
        <v>419</v>
      </c>
    </row>
    <row r="36" spans="2:3">
      <c r="B36" s="666"/>
      <c r="C36" s="270" t="s">
        <v>420</v>
      </c>
    </row>
    <row r="37" spans="2:3">
      <c r="B37" s="666"/>
      <c r="C37" s="270" t="s">
        <v>421</v>
      </c>
    </row>
    <row r="38" spans="2:3">
      <c r="B38" s="667"/>
      <c r="C38" s="272" t="s">
        <v>422</v>
      </c>
    </row>
    <row r="39" spans="2:3">
      <c r="B39" s="665" t="s">
        <v>440</v>
      </c>
      <c r="C39" s="391" t="s">
        <v>288</v>
      </c>
    </row>
    <row r="40" spans="2:3">
      <c r="B40" s="666"/>
      <c r="C40" s="270" t="s">
        <v>289</v>
      </c>
    </row>
    <row r="41" spans="2:3">
      <c r="B41" s="666"/>
      <c r="C41" s="270" t="s">
        <v>290</v>
      </c>
    </row>
    <row r="42" spans="2:3">
      <c r="B42" s="666"/>
      <c r="C42" s="426" t="s">
        <v>291</v>
      </c>
    </row>
    <row r="43" spans="2:3">
      <c r="B43" s="666"/>
      <c r="C43" s="270" t="s">
        <v>292</v>
      </c>
    </row>
    <row r="44" spans="2:3">
      <c r="B44" s="666"/>
      <c r="C44" s="270" t="s">
        <v>293</v>
      </c>
    </row>
    <row r="45" spans="2:3">
      <c r="B45" s="666"/>
      <c r="C45" s="270" t="s">
        <v>294</v>
      </c>
    </row>
    <row r="46" spans="2:3">
      <c r="B46" s="666"/>
      <c r="C46" s="426" t="s">
        <v>474</v>
      </c>
    </row>
    <row r="47" spans="2:3">
      <c r="B47" s="666"/>
      <c r="C47" s="270" t="str">
        <f>"3.4.1.1 - PREÇO DE VEÍCULO COM FATOR DE DEPRECIAÇÃO -  "&amp;TIPOLOGIA!$E$10</f>
        <v>3.4.1.1 - PREÇO DE VEÍCULO COM FATOR DE DEPRECIAÇÃO -  MICROÔNIBUS</v>
      </c>
    </row>
    <row r="48" spans="2:3">
      <c r="B48" s="666"/>
      <c r="C48" s="270" t="str">
        <f>"3.4.1.2 - PREÇO DE VEÍCULO COM FATOR DE DEPRECIAÇÃO -  "&amp;TIPOLOGIA!$E$11</f>
        <v>3.4.1.2 - PREÇO DE VEÍCULO COM FATOR DE DEPRECIAÇÃO -  CONVENCIONAL</v>
      </c>
    </row>
    <row r="49" spans="2:3">
      <c r="B49" s="666"/>
      <c r="C49" s="270" t="str">
        <f>"3.4.1.3 - PREÇO DE VEÍCULO COM FATOR DE DEPRECIAÇÃO -  "&amp;TIPOLOGIA!$E$12</f>
        <v>3.4.1.3 - PREÇO DE VEÍCULO COM FATOR DE DEPRECIAÇÃO -  -</v>
      </c>
    </row>
    <row r="50" spans="2:3">
      <c r="B50" s="666"/>
      <c r="C50" s="426" t="s">
        <v>475</v>
      </c>
    </row>
    <row r="51" spans="2:3">
      <c r="B51" s="666"/>
      <c r="C51" s="270" t="str">
        <f>"3.4.2.1 - PREÇO DE VEÍCULO COM FATOR DE DEPRECIAÇÃO DE VEÍCULO S/ RODAGEM - "&amp;TIPOLOGIA!$E$10</f>
        <v>3.4.2.1 - PREÇO DE VEÍCULO COM FATOR DE DEPRECIAÇÃO DE VEÍCULO S/ RODAGEM - MICROÔNIBUS</v>
      </c>
    </row>
    <row r="52" spans="2:3">
      <c r="B52" s="666"/>
      <c r="C52" s="270" t="str">
        <f>"3.4.2.2 - PREÇO DE VEÍCULO COM FATOR DE DEPRECIAÇÃO DE VEÍCULO S/ RODAGEM - "&amp;TIPOLOGIA!$E$11</f>
        <v>3.4.2.2 - PREÇO DE VEÍCULO COM FATOR DE DEPRECIAÇÃO DE VEÍCULO S/ RODAGEM - CONVENCIONAL</v>
      </c>
    </row>
    <row r="53" spans="2:3">
      <c r="B53" s="666"/>
      <c r="C53" s="270" t="str">
        <f>"3.4.2.3 - PREÇO DE VEÍCULO COM FATOR DE DEPRECIAÇÃO DE VEÍCULO S/ RODAGEM - "&amp;TIPOLOGIA!$E$12</f>
        <v>3.4.2.3 - PREÇO DE VEÍCULO COM FATOR DE DEPRECIAÇÃO DE VEÍCULO S/ RODAGEM - -</v>
      </c>
    </row>
    <row r="54" spans="2:3">
      <c r="B54" s="666"/>
      <c r="C54" s="426" t="s">
        <v>295</v>
      </c>
    </row>
    <row r="55" spans="2:3">
      <c r="B55" s="666"/>
      <c r="C55" s="426" t="s">
        <v>373</v>
      </c>
    </row>
    <row r="56" spans="2:3">
      <c r="B56" s="666"/>
      <c r="C56" s="270" t="s">
        <v>503</v>
      </c>
    </row>
    <row r="57" spans="2:3">
      <c r="B57" s="666"/>
      <c r="C57" s="270" t="s">
        <v>296</v>
      </c>
    </row>
    <row r="58" spans="2:3">
      <c r="B58" s="666"/>
      <c r="C58" s="426" t="s">
        <v>297</v>
      </c>
    </row>
    <row r="59" spans="2:3">
      <c r="B59" s="666"/>
      <c r="C59" s="270" t="s">
        <v>298</v>
      </c>
    </row>
    <row r="60" spans="2:3">
      <c r="B60" s="666"/>
      <c r="C60" s="270" t="s">
        <v>299</v>
      </c>
    </row>
    <row r="61" spans="2:3">
      <c r="B61" s="666"/>
      <c r="C61" s="426" t="s">
        <v>476</v>
      </c>
    </row>
    <row r="62" spans="2:3">
      <c r="B62" s="666"/>
      <c r="C62" s="426" t="s">
        <v>477</v>
      </c>
    </row>
    <row r="63" spans="2:3">
      <c r="B63" s="665" t="s">
        <v>439</v>
      </c>
      <c r="C63" s="391" t="s">
        <v>411</v>
      </c>
    </row>
    <row r="64" spans="2:3">
      <c r="B64" s="666"/>
      <c r="C64" s="270" t="s">
        <v>65</v>
      </c>
    </row>
    <row r="65" spans="2:3">
      <c r="B65" s="666"/>
      <c r="C65" s="270" t="s">
        <v>63</v>
      </c>
    </row>
    <row r="66" spans="2:3">
      <c r="B66" s="666"/>
      <c r="C66" s="270" t="s">
        <v>64</v>
      </c>
    </row>
    <row r="67" spans="2:3">
      <c r="B67" s="666"/>
      <c r="C67" s="270" t="s">
        <v>66</v>
      </c>
    </row>
    <row r="68" spans="2:3">
      <c r="B68" s="666"/>
      <c r="C68" s="270" t="s">
        <v>67</v>
      </c>
    </row>
    <row r="69" spans="2:3">
      <c r="B69" s="666"/>
      <c r="C69" s="270" t="s">
        <v>68</v>
      </c>
    </row>
    <row r="70" spans="2:3">
      <c r="B70" s="666"/>
      <c r="C70" s="270" t="s">
        <v>214</v>
      </c>
    </row>
    <row r="71" spans="2:3">
      <c r="B71" s="666"/>
      <c r="C71" s="270" t="s">
        <v>69</v>
      </c>
    </row>
    <row r="72" spans="2:3">
      <c r="B72" s="667"/>
      <c r="C72" s="272" t="s">
        <v>217</v>
      </c>
    </row>
    <row r="73" spans="2:3">
      <c r="B73" s="665" t="s">
        <v>438</v>
      </c>
      <c r="C73" s="391" t="s">
        <v>412</v>
      </c>
    </row>
    <row r="74" spans="2:3">
      <c r="B74" s="666"/>
      <c r="C74" s="270" t="s">
        <v>114</v>
      </c>
    </row>
    <row r="75" spans="2:3">
      <c r="B75" s="666"/>
      <c r="C75" s="270" t="s">
        <v>115</v>
      </c>
    </row>
    <row r="76" spans="2:3">
      <c r="B76" s="666"/>
      <c r="C76" s="270" t="s">
        <v>123</v>
      </c>
    </row>
    <row r="77" spans="2:3">
      <c r="B77" s="666"/>
      <c r="C77" s="270" t="s">
        <v>150</v>
      </c>
    </row>
    <row r="78" spans="2:3">
      <c r="B78" s="666"/>
      <c r="C78" s="270" t="s">
        <v>195</v>
      </c>
    </row>
    <row r="79" spans="2:3">
      <c r="B79" s="666"/>
      <c r="C79" s="270" t="s">
        <v>196</v>
      </c>
    </row>
    <row r="80" spans="2:3">
      <c r="B80" s="666"/>
      <c r="C80" s="270" t="s">
        <v>186</v>
      </c>
    </row>
    <row r="81" spans="2:3">
      <c r="B81" s="667"/>
      <c r="C81" s="272" t="s">
        <v>215</v>
      </c>
    </row>
    <row r="82" spans="2:3">
      <c r="B82" s="662" t="s">
        <v>437</v>
      </c>
      <c r="C82" s="391" t="s">
        <v>410</v>
      </c>
    </row>
    <row r="83" spans="2:3">
      <c r="B83" s="668"/>
      <c r="C83" s="282" t="s">
        <v>202</v>
      </c>
    </row>
    <row r="84" spans="2:3">
      <c r="B84" s="668"/>
      <c r="C84" s="282" t="s">
        <v>203</v>
      </c>
    </row>
    <row r="85" spans="2:3">
      <c r="B85" s="668"/>
      <c r="C85" s="282" t="s">
        <v>218</v>
      </c>
    </row>
    <row r="86" spans="2:3">
      <c r="B86" s="668"/>
      <c r="C86" s="282" t="s">
        <v>204</v>
      </c>
    </row>
    <row r="87" spans="2:3">
      <c r="B87" s="668"/>
      <c r="C87" s="282" t="s">
        <v>205</v>
      </c>
    </row>
    <row r="88" spans="2:3">
      <c r="B88" s="668"/>
      <c r="C88" s="282" t="s">
        <v>206</v>
      </c>
    </row>
    <row r="89" spans="2:3" ht="25.5">
      <c r="B89" s="668"/>
      <c r="C89" s="430" t="s">
        <v>372</v>
      </c>
    </row>
    <row r="90" spans="2:3">
      <c r="B90" s="663"/>
      <c r="C90" s="282" t="s">
        <v>371</v>
      </c>
    </row>
    <row r="91" spans="2:3">
      <c r="B91" s="668"/>
      <c r="C91" s="282" t="s">
        <v>413</v>
      </c>
    </row>
    <row r="92" spans="2:3">
      <c r="B92" s="662" t="s">
        <v>436</v>
      </c>
      <c r="C92" s="392" t="s">
        <v>85</v>
      </c>
    </row>
    <row r="93" spans="2:3">
      <c r="B93" s="668"/>
      <c r="C93" s="283" t="s">
        <v>100</v>
      </c>
    </row>
    <row r="94" spans="2:3">
      <c r="B94" s="668"/>
      <c r="C94" s="283" t="s">
        <v>101</v>
      </c>
    </row>
    <row r="95" spans="2:3">
      <c r="B95" s="668"/>
      <c r="C95" s="282" t="str">
        <f>"7.1.1.1 - "&amp;TIPOLOGIA!$E$10</f>
        <v>7.1.1.1 - MICROÔNIBUS</v>
      </c>
    </row>
    <row r="96" spans="2:3">
      <c r="B96" s="668"/>
      <c r="C96" s="282" t="str">
        <f>"7.1.1.2 - "&amp;TIPOLOGIA!$E$11</f>
        <v>7.1.1.2 - CONVENCIONAL</v>
      </c>
    </row>
    <row r="97" spans="2:3">
      <c r="B97" s="668"/>
      <c r="C97" s="282" t="str">
        <f>"7.1.1.3 - "&amp;TIPOLOGIA!$E$12</f>
        <v>7.1.1.3 - -</v>
      </c>
    </row>
    <row r="98" spans="2:3">
      <c r="B98" s="668"/>
      <c r="C98" s="283" t="s">
        <v>102</v>
      </c>
    </row>
    <row r="99" spans="2:3">
      <c r="B99" s="668"/>
      <c r="C99" s="282" t="str">
        <f>"7.1.2.1 - "&amp;TIPOLOGIA!$E$10</f>
        <v>7.1.2.1 - MICROÔNIBUS</v>
      </c>
    </row>
    <row r="100" spans="2:3">
      <c r="B100" s="668"/>
      <c r="C100" s="282" t="str">
        <f>"7.1.2.2 - "&amp;TIPOLOGIA!$E$11</f>
        <v>7.1.2.2 - CONVENCIONAL</v>
      </c>
    </row>
    <row r="101" spans="2:3">
      <c r="B101" s="668"/>
      <c r="C101" s="282" t="str">
        <f>"7.1.2.3 - "&amp;TIPOLOGIA!$E$12</f>
        <v>7.1.2.3 - -</v>
      </c>
    </row>
    <row r="102" spans="2:3">
      <c r="B102" s="668"/>
      <c r="C102" s="283" t="s">
        <v>103</v>
      </c>
    </row>
    <row r="103" spans="2:3">
      <c r="B103" s="668"/>
      <c r="C103" s="282" t="str">
        <f>"7.1.3.1 - "&amp;TIPOLOGIA!$E$10</f>
        <v>7.1.3.1 - MICROÔNIBUS</v>
      </c>
    </row>
    <row r="104" spans="2:3">
      <c r="B104" s="668"/>
      <c r="C104" s="282" t="str">
        <f>"7.1.3.2 - "&amp;TIPOLOGIA!$E$11</f>
        <v>7.1.3.2 - CONVENCIONAL</v>
      </c>
    </row>
    <row r="105" spans="2:3">
      <c r="B105" s="668"/>
      <c r="C105" s="282" t="str">
        <f>"7.1.3.3 - "&amp;TIPOLOGIA!$E$12</f>
        <v>7.1.3.3 - -</v>
      </c>
    </row>
    <row r="106" spans="2:3">
      <c r="B106" s="668"/>
      <c r="C106" s="283" t="s">
        <v>104</v>
      </c>
    </row>
    <row r="107" spans="2:3">
      <c r="B107" s="668"/>
      <c r="C107" s="283" t="s">
        <v>473</v>
      </c>
    </row>
    <row r="108" spans="2:3">
      <c r="B108" s="668"/>
      <c r="C108" s="283" t="s">
        <v>408</v>
      </c>
    </row>
    <row r="109" spans="2:3">
      <c r="B109" s="668"/>
      <c r="C109" s="282" t="str">
        <f>"7.2.1.1 - "&amp;TIPOLOGIA!$E$10</f>
        <v>7.2.1.1 - MICROÔNIBUS</v>
      </c>
    </row>
    <row r="110" spans="2:3">
      <c r="B110" s="668"/>
      <c r="C110" s="282" t="str">
        <f>"7.2.1.2 - "&amp;TIPOLOGIA!$E$11</f>
        <v>7.2.1.2 - CONVENCIONAL</v>
      </c>
    </row>
    <row r="111" spans="2:3">
      <c r="B111" s="668"/>
      <c r="C111" s="282" t="str">
        <f>"7.2.1.3 - "&amp;TIPOLOGIA!$E$12</f>
        <v>7.2.1.3 - -</v>
      </c>
    </row>
    <row r="112" spans="2:3">
      <c r="B112" s="668"/>
      <c r="C112" s="283" t="s">
        <v>409</v>
      </c>
    </row>
    <row r="113" spans="2:3">
      <c r="B113" s="668"/>
      <c r="C113" s="282" t="str">
        <f>"7.2.2.1 - "&amp;TIPOLOGIA!$E$10</f>
        <v>7.2.2.1 - MICROÔNIBUS</v>
      </c>
    </row>
    <row r="114" spans="2:3">
      <c r="B114" s="668"/>
      <c r="C114" s="282" t="str">
        <f>"7.2.2.2 - "&amp;TIPOLOGIA!$E$11</f>
        <v>7.2.2.2 - CONVENCIONAL</v>
      </c>
    </row>
    <row r="115" spans="2:3">
      <c r="B115" s="668"/>
      <c r="C115" s="282" t="str">
        <f>"7.2.2.3 - "&amp;TIPOLOGIA!$E$12</f>
        <v>7.2.2.3 - -</v>
      </c>
    </row>
    <row r="116" spans="2:3">
      <c r="B116" s="668"/>
      <c r="C116" s="283" t="s">
        <v>220</v>
      </c>
    </row>
    <row r="117" spans="2:3">
      <c r="B117" s="668"/>
      <c r="C117" s="282" t="str">
        <f>"7.2.3.1 - "&amp;TIPOLOGIA!$E$10</f>
        <v>7.2.3.1 - MICROÔNIBUS</v>
      </c>
    </row>
    <row r="118" spans="2:3">
      <c r="B118" s="668"/>
      <c r="C118" s="282" t="str">
        <f>"7.2.3.2 - "&amp;TIPOLOGIA!$E$11</f>
        <v>7.2.3.2 - CONVENCIONAL</v>
      </c>
    </row>
    <row r="119" spans="2:3">
      <c r="B119" s="668"/>
      <c r="C119" s="282" t="str">
        <f>"7.2.3.3 - "&amp;TIPOLOGIA!$E$12</f>
        <v>7.2.3.3 - -</v>
      </c>
    </row>
    <row r="120" spans="2:3">
      <c r="B120" s="664"/>
      <c r="C120" s="284" t="s">
        <v>221</v>
      </c>
    </row>
    <row r="121" spans="2:3" ht="12.75" customHeight="1">
      <c r="B121" s="662" t="s">
        <v>435</v>
      </c>
      <c r="C121" s="392" t="s">
        <v>113</v>
      </c>
    </row>
    <row r="122" spans="2:3" ht="12.75" customHeight="1">
      <c r="B122" s="663"/>
      <c r="C122" s="282" t="str">
        <f>"8.1. - "&amp;TIPOLOGIA!$E$10</f>
        <v>8.1. - MICROÔNIBUS</v>
      </c>
    </row>
    <row r="123" spans="2:3" ht="12.75" customHeight="1">
      <c r="B123" s="663"/>
      <c r="C123" s="282" t="str">
        <f>"8.2. - "&amp;TIPOLOGIA!$E$11</f>
        <v>8.2. - CONVENCIONAL</v>
      </c>
    </row>
    <row r="124" spans="2:3" ht="12.75" customHeight="1">
      <c r="B124" s="663"/>
      <c r="C124" s="282" t="str">
        <f>"8.3. - "&amp;TIPOLOGIA!$E$12</f>
        <v>8.3. - -</v>
      </c>
    </row>
    <row r="125" spans="2:3">
      <c r="B125" s="664"/>
      <c r="C125" s="453" t="s">
        <v>423</v>
      </c>
    </row>
    <row r="126" spans="2:3" ht="24.95" customHeight="1">
      <c r="B126" s="427" t="s">
        <v>434</v>
      </c>
      <c r="C126" s="447" t="s">
        <v>424</v>
      </c>
    </row>
    <row r="127" spans="2:3">
      <c r="B127" s="662" t="s">
        <v>433</v>
      </c>
      <c r="C127" s="392" t="s">
        <v>425</v>
      </c>
    </row>
    <row r="128" spans="2:3">
      <c r="B128" s="663"/>
      <c r="C128" s="282" t="s">
        <v>443</v>
      </c>
    </row>
    <row r="129" spans="2:3">
      <c r="B129" s="664"/>
      <c r="C129" s="453" t="s">
        <v>426</v>
      </c>
    </row>
    <row r="130" spans="2:3" ht="24.95" customHeight="1">
      <c r="B130" s="427" t="s">
        <v>432</v>
      </c>
      <c r="C130" s="447" t="s">
        <v>427</v>
      </c>
    </row>
    <row r="131" spans="2:3" ht="27" customHeight="1">
      <c r="B131" s="564" t="s">
        <v>431</v>
      </c>
      <c r="C131" s="565" t="s">
        <v>428</v>
      </c>
    </row>
    <row r="132" spans="2:3" ht="29.25" customHeight="1">
      <c r="B132" s="427" t="s">
        <v>430</v>
      </c>
      <c r="C132" s="447" t="s">
        <v>429</v>
      </c>
    </row>
    <row r="133" spans="2:3" ht="29.25" customHeight="1">
      <c r="B133" s="427" t="s">
        <v>450</v>
      </c>
      <c r="C133" s="447" t="s">
        <v>451</v>
      </c>
    </row>
    <row r="134" spans="2:3" ht="27" customHeight="1">
      <c r="B134" s="427" t="s">
        <v>525</v>
      </c>
      <c r="C134" s="447" t="s">
        <v>526</v>
      </c>
    </row>
    <row r="136" spans="2:3">
      <c r="B136" s="281"/>
    </row>
    <row r="137" spans="2:3">
      <c r="B137" s="281"/>
    </row>
    <row r="138" spans="2:3">
      <c r="B138" s="281"/>
    </row>
    <row r="139" spans="2:3">
      <c r="B139" s="281"/>
    </row>
    <row r="140" spans="2:3">
      <c r="B140" s="281"/>
    </row>
    <row r="141" spans="2:3">
      <c r="B141" s="281"/>
    </row>
    <row r="142" spans="2:3">
      <c r="B142" s="281"/>
    </row>
    <row r="143" spans="2:3">
      <c r="B143" s="281"/>
    </row>
    <row r="144" spans="2:3">
      <c r="B144" s="281"/>
    </row>
    <row r="145" spans="2:2">
      <c r="B145" s="281"/>
    </row>
    <row r="146" spans="2:2">
      <c r="B146" s="281"/>
    </row>
    <row r="147" spans="2:2">
      <c r="B147" s="281"/>
    </row>
    <row r="148" spans="2:2">
      <c r="B148" s="281"/>
    </row>
    <row r="149" spans="2:2">
      <c r="B149" s="281"/>
    </row>
    <row r="150" spans="2:2">
      <c r="B150" s="281"/>
    </row>
    <row r="151" spans="2:2">
      <c r="B151" s="281"/>
    </row>
    <row r="152" spans="2:2">
      <c r="B152" s="281"/>
    </row>
    <row r="153" spans="2:2">
      <c r="B153" s="281"/>
    </row>
    <row r="154" spans="2:2">
      <c r="B154" s="281"/>
    </row>
    <row r="155" spans="2:2">
      <c r="B155" s="281"/>
    </row>
    <row r="156" spans="2:2">
      <c r="B156" s="281"/>
    </row>
    <row r="157" spans="2:2">
      <c r="B157" s="281"/>
    </row>
    <row r="158" spans="2:2">
      <c r="B158" s="281"/>
    </row>
    <row r="159" spans="2:2">
      <c r="B159" s="281"/>
    </row>
    <row r="160" spans="2:2">
      <c r="B160" s="281"/>
    </row>
    <row r="161" spans="2:2">
      <c r="B161" s="281"/>
    </row>
    <row r="162" spans="2:2">
      <c r="B162" s="281"/>
    </row>
    <row r="163" spans="2:2">
      <c r="B163" s="281"/>
    </row>
    <row r="164" spans="2:2">
      <c r="B164" s="281"/>
    </row>
    <row r="165" spans="2:2">
      <c r="B165" s="281"/>
    </row>
    <row r="166" spans="2:2">
      <c r="B166" s="281"/>
    </row>
    <row r="167" spans="2:2">
      <c r="B167" s="281"/>
    </row>
    <row r="168" spans="2:2">
      <c r="B168" s="281"/>
    </row>
    <row r="169" spans="2:2">
      <c r="B169" s="281"/>
    </row>
    <row r="170" spans="2:2">
      <c r="B170" s="281"/>
    </row>
    <row r="171" spans="2:2">
      <c r="B171" s="281"/>
    </row>
    <row r="172" spans="2:2">
      <c r="B172" s="281"/>
    </row>
    <row r="173" spans="2:2">
      <c r="B173" s="281"/>
    </row>
    <row r="174" spans="2:2">
      <c r="B174" s="281"/>
    </row>
    <row r="175" spans="2:2">
      <c r="B175" s="281"/>
    </row>
    <row r="176" spans="2:2">
      <c r="B176" s="281"/>
    </row>
  </sheetData>
  <mergeCells count="9">
    <mergeCell ref="B127:B129"/>
    <mergeCell ref="B10:B14"/>
    <mergeCell ref="B39:B62"/>
    <mergeCell ref="B15:B38"/>
    <mergeCell ref="B63:B72"/>
    <mergeCell ref="B73:B81"/>
    <mergeCell ref="B82:B91"/>
    <mergeCell ref="B92:B120"/>
    <mergeCell ref="B121:B125"/>
  </mergeCells>
  <pageMargins left="0.78740157480314965" right="0.39370078740157483" top="0.78740157480314965" bottom="0.78740157480314965" header="0.31496062992125984" footer="0.31496062992125984"/>
  <pageSetup paperSize="9" scale="82" fitToHeight="2" orientation="portrait" verticalDpi="300" r:id="rId1"/>
  <rowBreaks count="2" manualBreakCount="2">
    <brk id="62" min="1" max="2" man="1"/>
    <brk id="120" min="1" max="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P35"/>
  <sheetViews>
    <sheetView showGridLines="0" view="pageBreakPreview" zoomScaleNormal="130" zoomScaleSheetLayoutView="100" workbookViewId="0"/>
  </sheetViews>
  <sheetFormatPr defaultRowHeight="12.75"/>
  <cols>
    <col min="1" max="1" width="1.140625" style="2" customWidth="1"/>
    <col min="2" max="2" width="2.42578125" style="2" customWidth="1"/>
    <col min="3" max="3" width="1.5703125" style="2" customWidth="1"/>
    <col min="4" max="4" width="21.140625" style="2" customWidth="1"/>
    <col min="5" max="5" width="17.5703125" style="2" customWidth="1"/>
    <col min="6" max="9" width="8.7109375" style="2" customWidth="1"/>
    <col min="10" max="10" width="1.28515625" style="2" customWidth="1"/>
    <col min="11" max="11" width="7.5703125" style="2" customWidth="1"/>
    <col min="12" max="12" width="11.28515625" style="2" customWidth="1"/>
    <col min="13" max="15" width="8.7109375" style="2" customWidth="1"/>
    <col min="16" max="16" width="24" style="2" customWidth="1"/>
    <col min="17" max="16384" width="9.140625" style="2"/>
  </cols>
  <sheetData>
    <row r="1" spans="2:16">
      <c r="B1" s="1"/>
      <c r="C1" s="1"/>
      <c r="D1" s="1"/>
      <c r="E1" s="1"/>
      <c r="F1" s="1"/>
      <c r="G1" s="1"/>
      <c r="H1" s="1"/>
      <c r="I1" s="1"/>
    </row>
    <row r="2" spans="2:16" ht="15">
      <c r="B2" s="1"/>
      <c r="C2" s="1"/>
      <c r="D2" s="1"/>
      <c r="E2" s="403" t="s">
        <v>365</v>
      </c>
      <c r="F2" s="1"/>
      <c r="G2" s="1"/>
      <c r="H2" s="1"/>
      <c r="I2" s="1"/>
    </row>
    <row r="3" spans="2:16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  <c r="I3" s="1"/>
    </row>
    <row r="4" spans="2:16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G4" s="1"/>
      <c r="H4" s="1"/>
      <c r="I4" s="1"/>
    </row>
    <row r="5" spans="2:16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7" t="str">
        <f>+MENU!$C$5</f>
        <v>DATA BASE DE CÁLCULO: MARÇO 2020</v>
      </c>
    </row>
    <row r="7" spans="2:16" ht="15.75">
      <c r="B7" s="381" t="str">
        <f>+MENU!C9</f>
        <v>TIPOLOGIA DA FROTA</v>
      </c>
      <c r="P7" s="5"/>
    </row>
    <row r="8" spans="2:16">
      <c r="B8" s="4"/>
    </row>
    <row r="9" spans="2:16" ht="20.100000000000001" customHeight="1">
      <c r="D9" s="566" t="s">
        <v>13</v>
      </c>
      <c r="E9" s="566" t="s">
        <v>14</v>
      </c>
      <c r="K9" s="671" t="s">
        <v>375</v>
      </c>
      <c r="L9" s="672"/>
      <c r="M9" s="672"/>
      <c r="N9" s="672"/>
      <c r="O9" s="672"/>
      <c r="P9" s="673"/>
    </row>
    <row r="10" spans="2:16" ht="18" customHeight="1">
      <c r="D10" s="35">
        <v>1</v>
      </c>
      <c r="E10" s="33" t="s">
        <v>333</v>
      </c>
      <c r="K10" s="674" t="s">
        <v>19</v>
      </c>
      <c r="L10" s="675"/>
      <c r="M10" s="465" t="s">
        <v>378</v>
      </c>
      <c r="N10" s="466"/>
      <c r="O10" s="466"/>
      <c r="P10" s="467"/>
    </row>
    <row r="11" spans="2:16" ht="18" customHeight="1">
      <c r="D11" s="35">
        <v>2</v>
      </c>
      <c r="E11" s="33" t="s">
        <v>15</v>
      </c>
      <c r="K11" s="669" t="s">
        <v>20</v>
      </c>
      <c r="L11" s="670"/>
      <c r="M11" s="468" t="s">
        <v>379</v>
      </c>
      <c r="N11" s="442"/>
      <c r="O11" s="442"/>
      <c r="P11" s="469"/>
    </row>
    <row r="12" spans="2:16" ht="18" customHeight="1">
      <c r="D12" s="35">
        <v>3</v>
      </c>
      <c r="E12" s="33" t="s">
        <v>507</v>
      </c>
      <c r="K12" s="669" t="s">
        <v>176</v>
      </c>
      <c r="L12" s="670"/>
      <c r="M12" s="468" t="s">
        <v>380</v>
      </c>
      <c r="N12" s="442"/>
      <c r="O12" s="442"/>
      <c r="P12" s="469"/>
    </row>
    <row r="13" spans="2:16" ht="14.25">
      <c r="K13" s="669" t="s">
        <v>16</v>
      </c>
      <c r="L13" s="670"/>
      <c r="M13" s="468" t="s">
        <v>381</v>
      </c>
      <c r="N13" s="442"/>
      <c r="O13" s="442"/>
      <c r="P13" s="469"/>
    </row>
    <row r="14" spans="2:16" ht="14.25">
      <c r="K14" s="669" t="s">
        <v>382</v>
      </c>
      <c r="L14" s="670"/>
      <c r="M14" s="468" t="s">
        <v>383</v>
      </c>
      <c r="N14" s="442"/>
      <c r="O14" s="442"/>
      <c r="P14" s="469"/>
    </row>
    <row r="15" spans="2:16" ht="15.75">
      <c r="B15" s="381" t="s">
        <v>377</v>
      </c>
      <c r="K15" s="669" t="s">
        <v>54</v>
      </c>
      <c r="L15" s="670"/>
      <c r="M15" s="468" t="s">
        <v>384</v>
      </c>
      <c r="N15" s="442"/>
      <c r="O15" s="442"/>
      <c r="P15" s="469"/>
    </row>
    <row r="16" spans="2:16" ht="14.25">
      <c r="K16" s="478" t="s">
        <v>386</v>
      </c>
      <c r="L16" s="479"/>
      <c r="M16" s="468" t="s">
        <v>385</v>
      </c>
      <c r="N16" s="442"/>
      <c r="O16" s="442"/>
      <c r="P16" s="469"/>
    </row>
    <row r="17" spans="2:16" ht="15">
      <c r="B17" s="677" t="s">
        <v>374</v>
      </c>
      <c r="C17" s="678"/>
      <c r="D17" s="678"/>
      <c r="E17" s="678"/>
      <c r="F17" s="678"/>
      <c r="G17" s="692" t="s">
        <v>465</v>
      </c>
      <c r="H17" s="678"/>
      <c r="I17" s="693"/>
      <c r="K17" s="478" t="s">
        <v>45</v>
      </c>
      <c r="L17" s="479"/>
      <c r="M17" s="468" t="s">
        <v>387</v>
      </c>
      <c r="N17" s="442"/>
      <c r="O17" s="442"/>
      <c r="P17" s="469"/>
    </row>
    <row r="18" spans="2:16" ht="15.75" customHeight="1">
      <c r="B18" s="679" t="s">
        <v>376</v>
      </c>
      <c r="C18" s="680"/>
      <c r="D18" s="680"/>
      <c r="E18" s="680"/>
      <c r="F18" s="680"/>
      <c r="G18" s="683"/>
      <c r="H18" s="684"/>
      <c r="I18" s="685"/>
      <c r="K18" s="478" t="s">
        <v>55</v>
      </c>
      <c r="L18" s="479"/>
      <c r="M18" s="468" t="s">
        <v>384</v>
      </c>
      <c r="N18" s="442"/>
      <c r="O18" s="442"/>
      <c r="P18" s="469"/>
    </row>
    <row r="19" spans="2:16" ht="14.25">
      <c r="B19" s="679"/>
      <c r="C19" s="680"/>
      <c r="D19" s="680"/>
      <c r="E19" s="680"/>
      <c r="F19" s="680"/>
      <c r="G19" s="686"/>
      <c r="H19" s="687"/>
      <c r="I19" s="688"/>
      <c r="K19" s="478" t="s">
        <v>47</v>
      </c>
      <c r="L19" s="479"/>
      <c r="M19" s="468" t="s">
        <v>388</v>
      </c>
      <c r="N19" s="442"/>
      <c r="O19" s="442"/>
      <c r="P19" s="469"/>
    </row>
    <row r="20" spans="2:16" ht="14.25">
      <c r="B20" s="681"/>
      <c r="C20" s="682"/>
      <c r="D20" s="682"/>
      <c r="E20" s="682"/>
      <c r="F20" s="682"/>
      <c r="G20" s="689"/>
      <c r="H20" s="690"/>
      <c r="I20" s="691"/>
      <c r="K20" s="478" t="s">
        <v>52</v>
      </c>
      <c r="L20" s="479"/>
      <c r="M20" s="468" t="s">
        <v>389</v>
      </c>
      <c r="N20" s="442"/>
      <c r="O20" s="442"/>
      <c r="P20" s="469"/>
    </row>
    <row r="21" spans="2:16" ht="14.25">
      <c r="K21" s="478" t="s">
        <v>57</v>
      </c>
      <c r="L21" s="479"/>
      <c r="M21" s="468" t="s">
        <v>390</v>
      </c>
      <c r="N21" s="442"/>
      <c r="O21" s="442"/>
      <c r="P21" s="469"/>
    </row>
    <row r="22" spans="2:16" ht="14.25">
      <c r="K22" s="478" t="s">
        <v>392</v>
      </c>
      <c r="L22" s="479"/>
      <c r="M22" s="468" t="s">
        <v>394</v>
      </c>
      <c r="N22" s="442"/>
      <c r="O22" s="442"/>
      <c r="P22" s="469"/>
    </row>
    <row r="23" spans="2:16" ht="14.25">
      <c r="K23" s="478" t="s">
        <v>391</v>
      </c>
      <c r="L23" s="479"/>
      <c r="M23" s="468" t="s">
        <v>395</v>
      </c>
      <c r="N23" s="442"/>
      <c r="O23" s="442"/>
      <c r="P23" s="469"/>
    </row>
    <row r="24" spans="2:16" ht="14.25">
      <c r="K24" s="478" t="s">
        <v>5</v>
      </c>
      <c r="L24" s="479"/>
      <c r="M24" s="468" t="s">
        <v>396</v>
      </c>
      <c r="N24" s="442"/>
      <c r="O24" s="442"/>
      <c r="P24" s="469"/>
    </row>
    <row r="25" spans="2:16" ht="14.25">
      <c r="K25" s="478" t="s">
        <v>24</v>
      </c>
      <c r="L25" s="479"/>
      <c r="M25" s="468" t="s">
        <v>397</v>
      </c>
      <c r="N25" s="442"/>
      <c r="O25" s="442"/>
      <c r="P25" s="469"/>
    </row>
    <row r="26" spans="2:16" ht="14.25">
      <c r="K26" s="478" t="s">
        <v>25</v>
      </c>
      <c r="L26" s="479"/>
      <c r="M26" s="468" t="s">
        <v>398</v>
      </c>
      <c r="N26" s="442"/>
      <c r="O26" s="442"/>
      <c r="P26" s="469"/>
    </row>
    <row r="27" spans="2:16" ht="14.25">
      <c r="K27" s="478" t="s">
        <v>212</v>
      </c>
      <c r="L27" s="479"/>
      <c r="M27" s="468" t="s">
        <v>399</v>
      </c>
      <c r="N27" s="442"/>
      <c r="O27" s="442"/>
      <c r="P27" s="469"/>
    </row>
    <row r="28" spans="2:16" ht="14.25">
      <c r="K28" s="478" t="s">
        <v>32</v>
      </c>
      <c r="L28" s="479"/>
      <c r="M28" s="468" t="s">
        <v>400</v>
      </c>
      <c r="N28" s="442"/>
      <c r="O28" s="442"/>
      <c r="P28" s="469"/>
    </row>
    <row r="29" spans="2:16" ht="14.25">
      <c r="K29" s="478" t="s">
        <v>40</v>
      </c>
      <c r="L29" s="479"/>
      <c r="M29" s="468" t="s">
        <v>401</v>
      </c>
      <c r="N29" s="442"/>
      <c r="O29" s="442"/>
      <c r="P29" s="469"/>
    </row>
    <row r="30" spans="2:16" ht="14.25">
      <c r="K30" s="460" t="s">
        <v>402</v>
      </c>
      <c r="L30" s="461"/>
      <c r="M30" s="468" t="s">
        <v>403</v>
      </c>
      <c r="N30" s="446"/>
      <c r="O30" s="446"/>
      <c r="P30" s="470"/>
    </row>
    <row r="31" spans="2:16" ht="14.25">
      <c r="K31" s="460" t="s">
        <v>70</v>
      </c>
      <c r="L31" s="461"/>
      <c r="M31" s="468" t="s">
        <v>404</v>
      </c>
      <c r="N31" s="446"/>
      <c r="O31" s="446"/>
      <c r="P31" s="470"/>
    </row>
    <row r="32" spans="2:16" ht="14.25">
      <c r="K32" s="460" t="s">
        <v>158</v>
      </c>
      <c r="L32" s="461"/>
      <c r="M32" s="468" t="s">
        <v>405</v>
      </c>
      <c r="N32" s="446"/>
      <c r="O32" s="446"/>
      <c r="P32" s="470"/>
    </row>
    <row r="33" spans="11:16" ht="14.25">
      <c r="K33" s="460" t="s">
        <v>118</v>
      </c>
      <c r="L33" s="461"/>
      <c r="M33" s="471" t="s">
        <v>406</v>
      </c>
      <c r="N33" s="446"/>
      <c r="O33" s="446"/>
      <c r="P33" s="470"/>
    </row>
    <row r="34" spans="11:16" ht="14.25">
      <c r="K34" s="462" t="s">
        <v>52</v>
      </c>
      <c r="L34" s="463"/>
      <c r="M34" s="472" t="s">
        <v>389</v>
      </c>
      <c r="N34" s="473"/>
      <c r="O34" s="473"/>
      <c r="P34" s="474"/>
    </row>
    <row r="35" spans="11:16" ht="14.25">
      <c r="K35" s="676"/>
      <c r="L35" s="676"/>
      <c r="M35" s="464"/>
      <c r="N35" s="464"/>
      <c r="O35" s="464"/>
      <c r="P35" s="464"/>
    </row>
  </sheetData>
  <mergeCells count="12">
    <mergeCell ref="K35:L35"/>
    <mergeCell ref="B17:F17"/>
    <mergeCell ref="B18:F20"/>
    <mergeCell ref="G18:I20"/>
    <mergeCell ref="G17:I17"/>
    <mergeCell ref="K14:L14"/>
    <mergeCell ref="K15:L15"/>
    <mergeCell ref="K9:P9"/>
    <mergeCell ref="K10:L10"/>
    <mergeCell ref="K11:L11"/>
    <mergeCell ref="K12:L12"/>
    <mergeCell ref="K13:L13"/>
  </mergeCells>
  <conditionalFormatting sqref="B17:B18 G18 O13:P16 N16 K13:K16 K22:K35 M22:P34">
    <cfRule type="cellIs" dxfId="21" priority="12" operator="equal">
      <formula>0</formula>
    </cfRule>
  </conditionalFormatting>
  <conditionalFormatting sqref="G17">
    <cfRule type="cellIs" dxfId="20" priority="11" operator="equal">
      <formula>0</formula>
    </cfRule>
  </conditionalFormatting>
  <conditionalFormatting sqref="K9:P9 O10:P11 K10:K11 M35:P35">
    <cfRule type="cellIs" dxfId="19" priority="9" operator="equal">
      <formula>0</formula>
    </cfRule>
  </conditionalFormatting>
  <conditionalFormatting sqref="K12 O12:P12">
    <cfRule type="cellIs" dxfId="18" priority="10" operator="equal">
      <formula>0</formula>
    </cfRule>
  </conditionalFormatting>
  <conditionalFormatting sqref="M13:N15 M10:N11">
    <cfRule type="cellIs" dxfId="17" priority="7" operator="equal">
      <formula>0</formula>
    </cfRule>
  </conditionalFormatting>
  <conditionalFormatting sqref="N12">
    <cfRule type="cellIs" dxfId="16" priority="8" operator="equal">
      <formula>0</formula>
    </cfRule>
  </conditionalFormatting>
  <conditionalFormatting sqref="M12">
    <cfRule type="cellIs" dxfId="15" priority="6" operator="equal">
      <formula>0</formula>
    </cfRule>
  </conditionalFormatting>
  <conditionalFormatting sqref="M16">
    <cfRule type="cellIs" dxfId="14" priority="5" operator="equal">
      <formula>0</formula>
    </cfRule>
  </conditionalFormatting>
  <conditionalFormatting sqref="M17:P17 K17:K21 M20:P20 N18:P19 N21:P21">
    <cfRule type="cellIs" dxfId="13" priority="4" operator="equal">
      <formula>0</formula>
    </cfRule>
  </conditionalFormatting>
  <conditionalFormatting sqref="M18">
    <cfRule type="cellIs" dxfId="12" priority="3" operator="equal">
      <formula>0</formula>
    </cfRule>
  </conditionalFormatting>
  <conditionalFormatting sqref="M19">
    <cfRule type="cellIs" dxfId="11" priority="2" operator="equal">
      <formula>0</formula>
    </cfRule>
  </conditionalFormatting>
  <conditionalFormatting sqref="M21">
    <cfRule type="cellIs" dxfId="10" priority="1" operator="equal">
      <formula>0</formula>
    </cfRule>
  </conditionalFormatting>
  <pageMargins left="0.51181102362204722" right="0.51181102362204722" top="0.78740157480314965" bottom="0.78740157480314965" header="0.31496062992125984" footer="0.31496062992125984"/>
  <pageSetup paperSize="9" scale="91" orientation="landscape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60"/>
  <sheetViews>
    <sheetView showGridLines="0" view="pageBreakPreview" zoomScaleNormal="100" zoomScaleSheetLayoutView="100" workbookViewId="0">
      <selection activeCell="C22" sqref="C22"/>
    </sheetView>
  </sheetViews>
  <sheetFormatPr defaultRowHeight="12.75"/>
  <cols>
    <col min="1" max="1" width="1.140625" style="2" customWidth="1"/>
    <col min="2" max="2" width="2.42578125" style="2" customWidth="1"/>
    <col min="3" max="3" width="1.5703125" style="2" customWidth="1"/>
    <col min="4" max="4" width="30.7109375" style="2" customWidth="1"/>
    <col min="5" max="5" width="14" style="5" bestFit="1" customWidth="1"/>
    <col min="6" max="20" width="9.7109375" style="2" customWidth="1"/>
    <col min="21" max="16384" width="9.140625" style="2"/>
  </cols>
  <sheetData>
    <row r="1" spans="1:20">
      <c r="B1" s="1"/>
      <c r="C1" s="1"/>
      <c r="D1" s="1"/>
      <c r="E1" s="36"/>
      <c r="F1" s="1"/>
      <c r="G1" s="1"/>
      <c r="H1" s="1"/>
      <c r="I1" s="1"/>
    </row>
    <row r="2" spans="1:20" ht="15">
      <c r="B2" s="1"/>
      <c r="C2" s="1"/>
      <c r="D2" s="1"/>
      <c r="E2" s="403" t="s">
        <v>365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7" t="str">
        <f>+MENU!$C$5</f>
        <v>DATA BASE DE CÁLCULO: MARÇO 2020</v>
      </c>
    </row>
    <row r="6" spans="1:20">
      <c r="B6" s="1"/>
      <c r="C6" s="1"/>
      <c r="D6" s="1"/>
      <c r="E6" s="3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.75">
      <c r="B7" s="431" t="str">
        <f>+MENU!C10</f>
        <v>1. - DADOS OPERACIONAIS</v>
      </c>
      <c r="C7" s="1"/>
      <c r="D7" s="1"/>
      <c r="E7" s="3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>
      <c r="B8" s="1"/>
      <c r="C8" s="1"/>
      <c r="D8" s="1"/>
      <c r="E8" s="36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.75">
      <c r="B9" s="1"/>
      <c r="C9" s="431" t="str">
        <f>+MENU!$C$11</f>
        <v>1.1. - COMPOSIÇÃO DA FROTA</v>
      </c>
      <c r="D9" s="1"/>
      <c r="E9" s="36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>
      <c r="B10" s="1"/>
      <c r="C10" s="71"/>
      <c r="D10" s="1"/>
      <c r="E10" s="36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8" customHeight="1">
      <c r="B11" s="1"/>
      <c r="C11" s="6"/>
      <c r="D11" s="567" t="s">
        <v>13</v>
      </c>
      <c r="E11" s="568" t="s">
        <v>6</v>
      </c>
      <c r="F11" s="569">
        <v>1</v>
      </c>
      <c r="G11" s="569">
        <f t="shared" ref="G11:T11" si="0">+F11+1</f>
        <v>2</v>
      </c>
      <c r="H11" s="569">
        <f t="shared" si="0"/>
        <v>3</v>
      </c>
      <c r="I11" s="569">
        <f t="shared" si="0"/>
        <v>4</v>
      </c>
      <c r="J11" s="569">
        <f t="shared" si="0"/>
        <v>5</v>
      </c>
      <c r="K11" s="569">
        <f t="shared" si="0"/>
        <v>6</v>
      </c>
      <c r="L11" s="569">
        <f t="shared" si="0"/>
        <v>7</v>
      </c>
      <c r="M11" s="569">
        <f t="shared" si="0"/>
        <v>8</v>
      </c>
      <c r="N11" s="569">
        <f t="shared" si="0"/>
        <v>9</v>
      </c>
      <c r="O11" s="569">
        <f t="shared" si="0"/>
        <v>10</v>
      </c>
      <c r="P11" s="569">
        <f t="shared" si="0"/>
        <v>11</v>
      </c>
      <c r="Q11" s="569">
        <f t="shared" si="0"/>
        <v>12</v>
      </c>
      <c r="R11" s="569">
        <f t="shared" si="0"/>
        <v>13</v>
      </c>
      <c r="S11" s="569">
        <f t="shared" si="0"/>
        <v>14</v>
      </c>
      <c r="T11" s="570">
        <f t="shared" si="0"/>
        <v>15</v>
      </c>
    </row>
    <row r="12" spans="1:20">
      <c r="A12" s="2">
        <v>1</v>
      </c>
      <c r="B12" s="1"/>
      <c r="C12" s="1"/>
      <c r="D12" s="19" t="str">
        <f>VLOOKUP(A12,TIPOLOGIA!$D$10:$E$12,2,0)</f>
        <v>MICROÔNIBUS</v>
      </c>
      <c r="E12" s="20" t="s">
        <v>19</v>
      </c>
      <c r="F12" s="45">
        <v>4</v>
      </c>
      <c r="G12" s="45">
        <f>+F12</f>
        <v>4</v>
      </c>
      <c r="H12" s="45">
        <f t="shared" ref="H12:T12" si="1">+G12</f>
        <v>4</v>
      </c>
      <c r="I12" s="45">
        <f t="shared" si="1"/>
        <v>4</v>
      </c>
      <c r="J12" s="45">
        <f t="shared" si="1"/>
        <v>4</v>
      </c>
      <c r="K12" s="45">
        <f t="shared" si="1"/>
        <v>4</v>
      </c>
      <c r="L12" s="45">
        <f t="shared" si="1"/>
        <v>4</v>
      </c>
      <c r="M12" s="45">
        <f t="shared" si="1"/>
        <v>4</v>
      </c>
      <c r="N12" s="45">
        <f t="shared" si="1"/>
        <v>4</v>
      </c>
      <c r="O12" s="45">
        <f t="shared" si="1"/>
        <v>4</v>
      </c>
      <c r="P12" s="45">
        <f t="shared" si="1"/>
        <v>4</v>
      </c>
      <c r="Q12" s="45">
        <f t="shared" si="1"/>
        <v>4</v>
      </c>
      <c r="R12" s="45">
        <f t="shared" si="1"/>
        <v>4</v>
      </c>
      <c r="S12" s="45">
        <f t="shared" si="1"/>
        <v>4</v>
      </c>
      <c r="T12" s="46">
        <f t="shared" si="1"/>
        <v>4</v>
      </c>
    </row>
    <row r="13" spans="1:20">
      <c r="A13" s="2">
        <v>2</v>
      </c>
      <c r="B13" s="1"/>
      <c r="C13" s="1"/>
      <c r="D13" s="432" t="str">
        <f>VLOOKUP(A13,TIPOLOGIA!$D$10:$E$12,2,0)</f>
        <v>CONVENCIONAL</v>
      </c>
      <c r="E13" s="433" t="s">
        <v>19</v>
      </c>
      <c r="F13" s="434">
        <v>8</v>
      </c>
      <c r="G13" s="434">
        <f t="shared" ref="G13:T13" si="2">+F13</f>
        <v>8</v>
      </c>
      <c r="H13" s="434">
        <f t="shared" si="2"/>
        <v>8</v>
      </c>
      <c r="I13" s="434">
        <f t="shared" si="2"/>
        <v>8</v>
      </c>
      <c r="J13" s="434">
        <f t="shared" si="2"/>
        <v>8</v>
      </c>
      <c r="K13" s="434">
        <f t="shared" si="2"/>
        <v>8</v>
      </c>
      <c r="L13" s="434">
        <f t="shared" si="2"/>
        <v>8</v>
      </c>
      <c r="M13" s="434">
        <f t="shared" si="2"/>
        <v>8</v>
      </c>
      <c r="N13" s="434">
        <f t="shared" si="2"/>
        <v>8</v>
      </c>
      <c r="O13" s="434">
        <f t="shared" si="2"/>
        <v>8</v>
      </c>
      <c r="P13" s="434">
        <f t="shared" si="2"/>
        <v>8</v>
      </c>
      <c r="Q13" s="434">
        <f t="shared" si="2"/>
        <v>8</v>
      </c>
      <c r="R13" s="434">
        <f t="shared" si="2"/>
        <v>8</v>
      </c>
      <c r="S13" s="434">
        <f t="shared" si="2"/>
        <v>8</v>
      </c>
      <c r="T13" s="435">
        <f t="shared" si="2"/>
        <v>8</v>
      </c>
    </row>
    <row r="14" spans="1:20">
      <c r="A14" s="2">
        <v>3</v>
      </c>
      <c r="B14" s="1"/>
      <c r="C14" s="1"/>
      <c r="D14" s="24" t="str">
        <f>VLOOKUP(A14,TIPOLOGIA!$D$10:$E$12,2,0)</f>
        <v>-</v>
      </c>
      <c r="E14" s="25" t="s">
        <v>19</v>
      </c>
      <c r="F14" s="31">
        <v>0</v>
      </c>
      <c r="G14" s="31">
        <f t="shared" ref="G14:T14" si="3">+F14</f>
        <v>0</v>
      </c>
      <c r="H14" s="31">
        <f t="shared" si="3"/>
        <v>0</v>
      </c>
      <c r="I14" s="31">
        <f t="shared" si="3"/>
        <v>0</v>
      </c>
      <c r="J14" s="31">
        <f t="shared" si="3"/>
        <v>0</v>
      </c>
      <c r="K14" s="31">
        <f t="shared" si="3"/>
        <v>0</v>
      </c>
      <c r="L14" s="31">
        <f t="shared" si="3"/>
        <v>0</v>
      </c>
      <c r="M14" s="31">
        <f t="shared" si="3"/>
        <v>0</v>
      </c>
      <c r="N14" s="31">
        <f t="shared" si="3"/>
        <v>0</v>
      </c>
      <c r="O14" s="31">
        <f t="shared" si="3"/>
        <v>0</v>
      </c>
      <c r="P14" s="31">
        <f t="shared" si="3"/>
        <v>0</v>
      </c>
      <c r="Q14" s="31">
        <f t="shared" si="3"/>
        <v>0</v>
      </c>
      <c r="R14" s="31">
        <f t="shared" si="3"/>
        <v>0</v>
      </c>
      <c r="S14" s="31">
        <f t="shared" si="3"/>
        <v>0</v>
      </c>
      <c r="T14" s="32">
        <f t="shared" si="3"/>
        <v>0</v>
      </c>
    </row>
    <row r="15" spans="1:20" ht="18" customHeight="1">
      <c r="B15" s="1"/>
      <c r="C15" s="6" t="s">
        <v>7</v>
      </c>
      <c r="D15" s="21"/>
      <c r="E15" s="14" t="str">
        <f>E14</f>
        <v>(Veíc./Mês)</v>
      </c>
      <c r="F15" s="14">
        <f t="shared" ref="F15:T15" si="4">SUM(F12:F14)</f>
        <v>12</v>
      </c>
      <c r="G15" s="14">
        <f t="shared" si="4"/>
        <v>12</v>
      </c>
      <c r="H15" s="14">
        <f t="shared" si="4"/>
        <v>12</v>
      </c>
      <c r="I15" s="14">
        <f t="shared" si="4"/>
        <v>12</v>
      </c>
      <c r="J15" s="14">
        <f t="shared" si="4"/>
        <v>12</v>
      </c>
      <c r="K15" s="14">
        <f t="shared" si="4"/>
        <v>12</v>
      </c>
      <c r="L15" s="14">
        <f t="shared" si="4"/>
        <v>12</v>
      </c>
      <c r="M15" s="14">
        <f t="shared" si="4"/>
        <v>12</v>
      </c>
      <c r="N15" s="14">
        <f t="shared" si="4"/>
        <v>12</v>
      </c>
      <c r="O15" s="14">
        <f t="shared" si="4"/>
        <v>12</v>
      </c>
      <c r="P15" s="14">
        <f t="shared" si="4"/>
        <v>12</v>
      </c>
      <c r="Q15" s="14">
        <f t="shared" si="4"/>
        <v>12</v>
      </c>
      <c r="R15" s="14">
        <f t="shared" si="4"/>
        <v>12</v>
      </c>
      <c r="S15" s="14">
        <f t="shared" si="4"/>
        <v>12</v>
      </c>
      <c r="T15" s="28">
        <f t="shared" si="4"/>
        <v>12</v>
      </c>
    </row>
    <row r="16" spans="1:20">
      <c r="A16" s="2">
        <v>1</v>
      </c>
      <c r="B16" s="1"/>
      <c r="C16" s="1"/>
      <c r="D16" s="19" t="str">
        <f>VLOOKUP(A16,TIPOLOGIA!$D$10:$E$12,2,0)</f>
        <v>MICROÔNIBUS</v>
      </c>
      <c r="E16" s="20" t="s">
        <v>19</v>
      </c>
      <c r="F16" s="29">
        <v>0</v>
      </c>
      <c r="G16" s="29">
        <f>+F16</f>
        <v>0</v>
      </c>
      <c r="H16" s="29">
        <f t="shared" ref="H16:T16" si="5">+G16</f>
        <v>0</v>
      </c>
      <c r="I16" s="29">
        <f t="shared" si="5"/>
        <v>0</v>
      </c>
      <c r="J16" s="29">
        <f t="shared" si="5"/>
        <v>0</v>
      </c>
      <c r="K16" s="29">
        <f t="shared" si="5"/>
        <v>0</v>
      </c>
      <c r="L16" s="29">
        <f t="shared" si="5"/>
        <v>0</v>
      </c>
      <c r="M16" s="29">
        <f t="shared" si="5"/>
        <v>0</v>
      </c>
      <c r="N16" s="29">
        <f t="shared" si="5"/>
        <v>0</v>
      </c>
      <c r="O16" s="29">
        <f t="shared" si="5"/>
        <v>0</v>
      </c>
      <c r="P16" s="29">
        <f t="shared" si="5"/>
        <v>0</v>
      </c>
      <c r="Q16" s="29">
        <f t="shared" si="5"/>
        <v>0</v>
      </c>
      <c r="R16" s="29">
        <f t="shared" si="5"/>
        <v>0</v>
      </c>
      <c r="S16" s="29">
        <f t="shared" si="5"/>
        <v>0</v>
      </c>
      <c r="T16" s="30">
        <f t="shared" si="5"/>
        <v>0</v>
      </c>
    </row>
    <row r="17" spans="1:20">
      <c r="A17" s="2">
        <v>2</v>
      </c>
      <c r="B17" s="1"/>
      <c r="C17" s="1"/>
      <c r="D17" s="432" t="str">
        <f>VLOOKUP(A17,TIPOLOGIA!$D$10:$E$12,2,0)</f>
        <v>CONVENCIONAL</v>
      </c>
      <c r="E17" s="433" t="s">
        <v>19</v>
      </c>
      <c r="F17" s="434">
        <v>2</v>
      </c>
      <c r="G17" s="434">
        <f t="shared" ref="G17:T17" si="6">+F17</f>
        <v>2</v>
      </c>
      <c r="H17" s="434">
        <f t="shared" si="6"/>
        <v>2</v>
      </c>
      <c r="I17" s="434">
        <f t="shared" si="6"/>
        <v>2</v>
      </c>
      <c r="J17" s="434">
        <f t="shared" si="6"/>
        <v>2</v>
      </c>
      <c r="K17" s="434">
        <f t="shared" si="6"/>
        <v>2</v>
      </c>
      <c r="L17" s="434">
        <f t="shared" si="6"/>
        <v>2</v>
      </c>
      <c r="M17" s="434">
        <f t="shared" si="6"/>
        <v>2</v>
      </c>
      <c r="N17" s="434">
        <f t="shared" si="6"/>
        <v>2</v>
      </c>
      <c r="O17" s="434">
        <f t="shared" si="6"/>
        <v>2</v>
      </c>
      <c r="P17" s="434">
        <f t="shared" si="6"/>
        <v>2</v>
      </c>
      <c r="Q17" s="434">
        <f t="shared" si="6"/>
        <v>2</v>
      </c>
      <c r="R17" s="434">
        <f t="shared" si="6"/>
        <v>2</v>
      </c>
      <c r="S17" s="434">
        <f t="shared" si="6"/>
        <v>2</v>
      </c>
      <c r="T17" s="435">
        <f t="shared" si="6"/>
        <v>2</v>
      </c>
    </row>
    <row r="18" spans="1:20">
      <c r="A18" s="2">
        <v>3</v>
      </c>
      <c r="B18" s="1"/>
      <c r="C18" s="1"/>
      <c r="D18" s="24" t="str">
        <f>VLOOKUP(A18,TIPOLOGIA!$D$10:$E$12,2,0)</f>
        <v>-</v>
      </c>
      <c r="E18" s="25" t="s">
        <v>19</v>
      </c>
      <c r="F18" s="47">
        <v>0</v>
      </c>
      <c r="G18" s="47">
        <f t="shared" ref="G18:T18" si="7">+F18</f>
        <v>0</v>
      </c>
      <c r="H18" s="47">
        <f t="shared" si="7"/>
        <v>0</v>
      </c>
      <c r="I18" s="47">
        <f t="shared" si="7"/>
        <v>0</v>
      </c>
      <c r="J18" s="47">
        <f t="shared" si="7"/>
        <v>0</v>
      </c>
      <c r="K18" s="47">
        <f t="shared" si="7"/>
        <v>0</v>
      </c>
      <c r="L18" s="47">
        <f t="shared" si="7"/>
        <v>0</v>
      </c>
      <c r="M18" s="47">
        <f t="shared" si="7"/>
        <v>0</v>
      </c>
      <c r="N18" s="47">
        <f t="shared" si="7"/>
        <v>0</v>
      </c>
      <c r="O18" s="47">
        <f t="shared" si="7"/>
        <v>0</v>
      </c>
      <c r="P18" s="47">
        <f t="shared" si="7"/>
        <v>0</v>
      </c>
      <c r="Q18" s="47">
        <f t="shared" si="7"/>
        <v>0</v>
      </c>
      <c r="R18" s="47">
        <f t="shared" si="7"/>
        <v>0</v>
      </c>
      <c r="S18" s="47">
        <f t="shared" si="7"/>
        <v>0</v>
      </c>
      <c r="T18" s="48">
        <f t="shared" si="7"/>
        <v>0</v>
      </c>
    </row>
    <row r="19" spans="1:20" ht="18" customHeight="1">
      <c r="B19" s="1"/>
      <c r="C19" s="6" t="s">
        <v>8</v>
      </c>
      <c r="D19" s="21"/>
      <c r="E19" s="14" t="str">
        <f>E18</f>
        <v>(Veíc./Mês)</v>
      </c>
      <c r="F19" s="14">
        <f t="shared" ref="F19:T19" si="8">SUM(F16:F18)</f>
        <v>2</v>
      </c>
      <c r="G19" s="14">
        <f t="shared" si="8"/>
        <v>2</v>
      </c>
      <c r="H19" s="14">
        <f t="shared" si="8"/>
        <v>2</v>
      </c>
      <c r="I19" s="14">
        <f t="shared" si="8"/>
        <v>2</v>
      </c>
      <c r="J19" s="14">
        <f t="shared" si="8"/>
        <v>2</v>
      </c>
      <c r="K19" s="14">
        <f t="shared" si="8"/>
        <v>2</v>
      </c>
      <c r="L19" s="14">
        <f t="shared" si="8"/>
        <v>2</v>
      </c>
      <c r="M19" s="14">
        <f t="shared" si="8"/>
        <v>2</v>
      </c>
      <c r="N19" s="14">
        <f t="shared" si="8"/>
        <v>2</v>
      </c>
      <c r="O19" s="14">
        <f t="shared" si="8"/>
        <v>2</v>
      </c>
      <c r="P19" s="14">
        <f t="shared" si="8"/>
        <v>2</v>
      </c>
      <c r="Q19" s="14">
        <f t="shared" si="8"/>
        <v>2</v>
      </c>
      <c r="R19" s="14">
        <f t="shared" si="8"/>
        <v>2</v>
      </c>
      <c r="S19" s="14">
        <f t="shared" si="8"/>
        <v>2</v>
      </c>
      <c r="T19" s="28">
        <f t="shared" si="8"/>
        <v>2</v>
      </c>
    </row>
    <row r="20" spans="1:20">
      <c r="A20" s="2">
        <v>1</v>
      </c>
      <c r="B20" s="1"/>
      <c r="C20" s="1"/>
      <c r="D20" s="19" t="str">
        <f>VLOOKUP(A20,TIPOLOGIA!$D$10:$E$12,2,0)</f>
        <v>MICROÔNIBUS</v>
      </c>
      <c r="E20" s="20" t="s">
        <v>19</v>
      </c>
      <c r="F20" s="29">
        <f t="shared" ref="F20:T20" si="9">SUM(F12,F16)</f>
        <v>4</v>
      </c>
      <c r="G20" s="29">
        <f t="shared" si="9"/>
        <v>4</v>
      </c>
      <c r="H20" s="29">
        <f t="shared" si="9"/>
        <v>4</v>
      </c>
      <c r="I20" s="29">
        <f t="shared" si="9"/>
        <v>4</v>
      </c>
      <c r="J20" s="29">
        <f t="shared" si="9"/>
        <v>4</v>
      </c>
      <c r="K20" s="29">
        <f t="shared" si="9"/>
        <v>4</v>
      </c>
      <c r="L20" s="29">
        <f t="shared" si="9"/>
        <v>4</v>
      </c>
      <c r="M20" s="29">
        <f t="shared" si="9"/>
        <v>4</v>
      </c>
      <c r="N20" s="29">
        <f t="shared" si="9"/>
        <v>4</v>
      </c>
      <c r="O20" s="29">
        <f t="shared" si="9"/>
        <v>4</v>
      </c>
      <c r="P20" s="29">
        <f t="shared" si="9"/>
        <v>4</v>
      </c>
      <c r="Q20" s="29">
        <f t="shared" si="9"/>
        <v>4</v>
      </c>
      <c r="R20" s="29">
        <f t="shared" si="9"/>
        <v>4</v>
      </c>
      <c r="S20" s="29">
        <f t="shared" si="9"/>
        <v>4</v>
      </c>
      <c r="T20" s="30">
        <f t="shared" si="9"/>
        <v>4</v>
      </c>
    </row>
    <row r="21" spans="1:20">
      <c r="A21" s="2">
        <v>2</v>
      </c>
      <c r="B21" s="1"/>
      <c r="C21" s="1"/>
      <c r="D21" s="432" t="str">
        <f>VLOOKUP(A21,TIPOLOGIA!$D$10:$E$12,2,0)</f>
        <v>CONVENCIONAL</v>
      </c>
      <c r="E21" s="433" t="s">
        <v>19</v>
      </c>
      <c r="F21" s="434">
        <f t="shared" ref="F21:T21" si="10">SUM(F13,F17)</f>
        <v>10</v>
      </c>
      <c r="G21" s="434">
        <f t="shared" si="10"/>
        <v>10</v>
      </c>
      <c r="H21" s="434">
        <f t="shared" si="10"/>
        <v>10</v>
      </c>
      <c r="I21" s="434">
        <f t="shared" si="10"/>
        <v>10</v>
      </c>
      <c r="J21" s="434">
        <f t="shared" si="10"/>
        <v>10</v>
      </c>
      <c r="K21" s="434">
        <f t="shared" si="10"/>
        <v>10</v>
      </c>
      <c r="L21" s="434">
        <f t="shared" si="10"/>
        <v>10</v>
      </c>
      <c r="M21" s="434">
        <f t="shared" si="10"/>
        <v>10</v>
      </c>
      <c r="N21" s="434">
        <f t="shared" si="10"/>
        <v>10</v>
      </c>
      <c r="O21" s="434">
        <f t="shared" si="10"/>
        <v>10</v>
      </c>
      <c r="P21" s="434">
        <f t="shared" si="10"/>
        <v>10</v>
      </c>
      <c r="Q21" s="434">
        <f t="shared" si="10"/>
        <v>10</v>
      </c>
      <c r="R21" s="434">
        <f t="shared" si="10"/>
        <v>10</v>
      </c>
      <c r="S21" s="434">
        <f t="shared" si="10"/>
        <v>10</v>
      </c>
      <c r="T21" s="435">
        <f t="shared" si="10"/>
        <v>10</v>
      </c>
    </row>
    <row r="22" spans="1:20">
      <c r="A22" s="2">
        <v>3</v>
      </c>
      <c r="B22" s="1"/>
      <c r="C22" s="1"/>
      <c r="D22" s="24" t="str">
        <f>VLOOKUP(A22,TIPOLOGIA!$D$10:$E$12,2,0)</f>
        <v>-</v>
      </c>
      <c r="E22" s="25" t="s">
        <v>19</v>
      </c>
      <c r="F22" s="31">
        <f t="shared" ref="F22:T22" si="11">SUM(F14,F18)</f>
        <v>0</v>
      </c>
      <c r="G22" s="31">
        <f t="shared" si="11"/>
        <v>0</v>
      </c>
      <c r="H22" s="31">
        <f t="shared" si="11"/>
        <v>0</v>
      </c>
      <c r="I22" s="31">
        <f t="shared" si="11"/>
        <v>0</v>
      </c>
      <c r="J22" s="31">
        <f t="shared" si="11"/>
        <v>0</v>
      </c>
      <c r="K22" s="31">
        <f t="shared" si="11"/>
        <v>0</v>
      </c>
      <c r="L22" s="31">
        <f t="shared" si="11"/>
        <v>0</v>
      </c>
      <c r="M22" s="31">
        <f t="shared" si="11"/>
        <v>0</v>
      </c>
      <c r="N22" s="31">
        <f t="shared" si="11"/>
        <v>0</v>
      </c>
      <c r="O22" s="31">
        <f t="shared" si="11"/>
        <v>0</v>
      </c>
      <c r="P22" s="31">
        <f t="shared" si="11"/>
        <v>0</v>
      </c>
      <c r="Q22" s="31">
        <f t="shared" si="11"/>
        <v>0</v>
      </c>
      <c r="R22" s="31">
        <f t="shared" si="11"/>
        <v>0</v>
      </c>
      <c r="S22" s="31">
        <f t="shared" si="11"/>
        <v>0</v>
      </c>
      <c r="T22" s="32">
        <f t="shared" si="11"/>
        <v>0</v>
      </c>
    </row>
    <row r="23" spans="1:20" ht="18" customHeight="1">
      <c r="B23" s="1"/>
      <c r="C23" s="6" t="s">
        <v>9</v>
      </c>
      <c r="D23" s="21"/>
      <c r="E23" s="14" t="str">
        <f>E22</f>
        <v>(Veíc./Mês)</v>
      </c>
      <c r="F23" s="14">
        <f t="shared" ref="F23:T23" si="12">SUM(F20:F22)</f>
        <v>14</v>
      </c>
      <c r="G23" s="14">
        <f t="shared" si="12"/>
        <v>14</v>
      </c>
      <c r="H23" s="14">
        <f t="shared" si="12"/>
        <v>14</v>
      </c>
      <c r="I23" s="14">
        <f t="shared" si="12"/>
        <v>14</v>
      </c>
      <c r="J23" s="14">
        <f t="shared" si="12"/>
        <v>14</v>
      </c>
      <c r="K23" s="14">
        <f t="shared" si="12"/>
        <v>14</v>
      </c>
      <c r="L23" s="14">
        <f t="shared" si="12"/>
        <v>14</v>
      </c>
      <c r="M23" s="14">
        <f t="shared" si="12"/>
        <v>14</v>
      </c>
      <c r="N23" s="14">
        <f t="shared" si="12"/>
        <v>14</v>
      </c>
      <c r="O23" s="14">
        <f t="shared" si="12"/>
        <v>14</v>
      </c>
      <c r="P23" s="14">
        <f t="shared" si="12"/>
        <v>14</v>
      </c>
      <c r="Q23" s="14">
        <f t="shared" si="12"/>
        <v>14</v>
      </c>
      <c r="R23" s="14">
        <f t="shared" si="12"/>
        <v>14</v>
      </c>
      <c r="S23" s="14">
        <f t="shared" si="12"/>
        <v>14</v>
      </c>
      <c r="T23" s="28">
        <f t="shared" si="12"/>
        <v>14</v>
      </c>
    </row>
    <row r="24" spans="1:20">
      <c r="B24" s="1"/>
      <c r="C24" s="436"/>
      <c r="D24" s="1"/>
      <c r="E24" s="36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>
      <c r="B25" s="1"/>
      <c r="C25" s="1"/>
      <c r="D25" s="1"/>
      <c r="E25" s="36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.75">
      <c r="B26" s="1"/>
      <c r="C26" s="431" t="str">
        <f>+MENU!$C$12</f>
        <v>1.2. - COMPOSIÇÃO DA QUILOMETRAGEM</v>
      </c>
      <c r="D26" s="1"/>
      <c r="E26" s="36"/>
      <c r="F26" s="1">
        <v>5935.99355223782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72" t="s">
        <v>60</v>
      </c>
      <c r="T26" s="437">
        <v>0.05</v>
      </c>
    </row>
    <row r="27" spans="1:20">
      <c r="B27" s="1"/>
      <c r="C27" s="71"/>
      <c r="D27" s="1"/>
      <c r="E27" s="36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72"/>
      <c r="T27" s="322"/>
    </row>
    <row r="28" spans="1:20" ht="18" customHeight="1">
      <c r="B28" s="1"/>
      <c r="C28" s="6"/>
      <c r="D28" s="567" t="s">
        <v>181</v>
      </c>
      <c r="E28" s="571"/>
      <c r="F28" s="569">
        <v>1</v>
      </c>
      <c r="G28" s="569">
        <f t="shared" ref="G28:T28" si="13">+F28+1</f>
        <v>2</v>
      </c>
      <c r="H28" s="569">
        <f t="shared" si="13"/>
        <v>3</v>
      </c>
      <c r="I28" s="569">
        <f t="shared" si="13"/>
        <v>4</v>
      </c>
      <c r="J28" s="569">
        <f t="shared" si="13"/>
        <v>5</v>
      </c>
      <c r="K28" s="569">
        <f t="shared" si="13"/>
        <v>6</v>
      </c>
      <c r="L28" s="569">
        <f t="shared" si="13"/>
        <v>7</v>
      </c>
      <c r="M28" s="569">
        <f t="shared" si="13"/>
        <v>8</v>
      </c>
      <c r="N28" s="569">
        <f t="shared" si="13"/>
        <v>9</v>
      </c>
      <c r="O28" s="569">
        <f t="shared" si="13"/>
        <v>10</v>
      </c>
      <c r="P28" s="569">
        <f t="shared" si="13"/>
        <v>11</v>
      </c>
      <c r="Q28" s="569">
        <f t="shared" si="13"/>
        <v>12</v>
      </c>
      <c r="R28" s="569">
        <f t="shared" si="13"/>
        <v>13</v>
      </c>
      <c r="S28" s="569">
        <f t="shared" si="13"/>
        <v>14</v>
      </c>
      <c r="T28" s="570">
        <f t="shared" si="13"/>
        <v>15</v>
      </c>
    </row>
    <row r="29" spans="1:20">
      <c r="A29" s="2">
        <v>1</v>
      </c>
      <c r="B29" s="1"/>
      <c r="C29" s="1"/>
      <c r="D29" s="19" t="str">
        <f>VLOOKUP(A29,TIPOLOGIA!$D$10:$E$12,2,0)</f>
        <v>MICROÔNIBUS</v>
      </c>
      <c r="E29" s="20" t="s">
        <v>20</v>
      </c>
      <c r="F29" s="51">
        <f>+F26*F12</f>
        <v>23743.97420895128</v>
      </c>
      <c r="G29" s="51">
        <f>F29</f>
        <v>23743.97420895128</v>
      </c>
      <c r="H29" s="51">
        <f t="shared" ref="H29:S29" si="14">G29</f>
        <v>23743.97420895128</v>
      </c>
      <c r="I29" s="51">
        <f t="shared" si="14"/>
        <v>23743.97420895128</v>
      </c>
      <c r="J29" s="51">
        <f t="shared" si="14"/>
        <v>23743.97420895128</v>
      </c>
      <c r="K29" s="51">
        <f t="shared" si="14"/>
        <v>23743.97420895128</v>
      </c>
      <c r="L29" s="51">
        <f t="shared" si="14"/>
        <v>23743.97420895128</v>
      </c>
      <c r="M29" s="51">
        <f t="shared" si="14"/>
        <v>23743.97420895128</v>
      </c>
      <c r="N29" s="51">
        <f t="shared" si="14"/>
        <v>23743.97420895128</v>
      </c>
      <c r="O29" s="51">
        <f t="shared" si="14"/>
        <v>23743.97420895128</v>
      </c>
      <c r="P29" s="51">
        <f t="shared" si="14"/>
        <v>23743.97420895128</v>
      </c>
      <c r="Q29" s="51">
        <f t="shared" si="14"/>
        <v>23743.97420895128</v>
      </c>
      <c r="R29" s="51">
        <f t="shared" si="14"/>
        <v>23743.97420895128</v>
      </c>
      <c r="S29" s="51">
        <f t="shared" si="14"/>
        <v>23743.97420895128</v>
      </c>
      <c r="T29" s="52">
        <f>S29</f>
        <v>23743.97420895128</v>
      </c>
    </row>
    <row r="30" spans="1:20">
      <c r="A30" s="2">
        <v>2</v>
      </c>
      <c r="B30" s="1"/>
      <c r="C30" s="1"/>
      <c r="D30" s="432" t="str">
        <f>VLOOKUP(A30,TIPOLOGIA!$D$10:$E$12,2,0)</f>
        <v>CONVENCIONAL</v>
      </c>
      <c r="E30" s="433" t="s">
        <v>20</v>
      </c>
      <c r="F30" s="438">
        <f>+F13*F26</f>
        <v>47487.94841790256</v>
      </c>
      <c r="G30" s="438">
        <f>F30</f>
        <v>47487.94841790256</v>
      </c>
      <c r="H30" s="438">
        <f t="shared" ref="H30:S30" si="15">G30</f>
        <v>47487.94841790256</v>
      </c>
      <c r="I30" s="438">
        <f t="shared" si="15"/>
        <v>47487.94841790256</v>
      </c>
      <c r="J30" s="438">
        <f t="shared" si="15"/>
        <v>47487.94841790256</v>
      </c>
      <c r="K30" s="438">
        <f t="shared" si="15"/>
        <v>47487.94841790256</v>
      </c>
      <c r="L30" s="438">
        <f t="shared" si="15"/>
        <v>47487.94841790256</v>
      </c>
      <c r="M30" s="438">
        <f t="shared" si="15"/>
        <v>47487.94841790256</v>
      </c>
      <c r="N30" s="438">
        <f t="shared" si="15"/>
        <v>47487.94841790256</v>
      </c>
      <c r="O30" s="438">
        <f t="shared" si="15"/>
        <v>47487.94841790256</v>
      </c>
      <c r="P30" s="438">
        <f t="shared" si="15"/>
        <v>47487.94841790256</v>
      </c>
      <c r="Q30" s="438">
        <f t="shared" si="15"/>
        <v>47487.94841790256</v>
      </c>
      <c r="R30" s="438">
        <f t="shared" si="15"/>
        <v>47487.94841790256</v>
      </c>
      <c r="S30" s="438">
        <f t="shared" si="15"/>
        <v>47487.94841790256</v>
      </c>
      <c r="T30" s="439">
        <f>S30</f>
        <v>47487.94841790256</v>
      </c>
    </row>
    <row r="31" spans="1:20">
      <c r="A31" s="2">
        <v>3</v>
      </c>
      <c r="B31" s="1"/>
      <c r="C31" s="1"/>
      <c r="D31" s="24" t="str">
        <f>VLOOKUP(A31,TIPOLOGIA!$D$10:$E$12,2,0)</f>
        <v>-</v>
      </c>
      <c r="E31" s="25" t="s">
        <v>20</v>
      </c>
      <c r="F31" s="55">
        <v>0</v>
      </c>
      <c r="G31" s="55">
        <f>F31</f>
        <v>0</v>
      </c>
      <c r="H31" s="55">
        <f t="shared" ref="H31:S31" si="16">G31</f>
        <v>0</v>
      </c>
      <c r="I31" s="55">
        <f t="shared" si="16"/>
        <v>0</v>
      </c>
      <c r="J31" s="55">
        <f t="shared" si="16"/>
        <v>0</v>
      </c>
      <c r="K31" s="55">
        <f t="shared" si="16"/>
        <v>0</v>
      </c>
      <c r="L31" s="55">
        <f t="shared" si="16"/>
        <v>0</v>
      </c>
      <c r="M31" s="55">
        <f t="shared" si="16"/>
        <v>0</v>
      </c>
      <c r="N31" s="55">
        <f t="shared" si="16"/>
        <v>0</v>
      </c>
      <c r="O31" s="55">
        <f t="shared" si="16"/>
        <v>0</v>
      </c>
      <c r="P31" s="55">
        <f t="shared" si="16"/>
        <v>0</v>
      </c>
      <c r="Q31" s="55">
        <f t="shared" si="16"/>
        <v>0</v>
      </c>
      <c r="R31" s="55">
        <f t="shared" si="16"/>
        <v>0</v>
      </c>
      <c r="S31" s="55">
        <f t="shared" si="16"/>
        <v>0</v>
      </c>
      <c r="T31" s="56">
        <f>S31</f>
        <v>0</v>
      </c>
    </row>
    <row r="32" spans="1:20" ht="18" customHeight="1">
      <c r="B32" s="1"/>
      <c r="C32" s="6" t="s">
        <v>10</v>
      </c>
      <c r="D32" s="21"/>
      <c r="E32" s="14" t="s">
        <v>20</v>
      </c>
      <c r="F32" s="49">
        <f t="shared" ref="F32:T32" si="17">SUM(F29:F31)</f>
        <v>71231.922626853833</v>
      </c>
      <c r="G32" s="49">
        <f t="shared" si="17"/>
        <v>71231.922626853833</v>
      </c>
      <c r="H32" s="49">
        <f t="shared" si="17"/>
        <v>71231.922626853833</v>
      </c>
      <c r="I32" s="49">
        <f t="shared" si="17"/>
        <v>71231.922626853833</v>
      </c>
      <c r="J32" s="49">
        <f t="shared" si="17"/>
        <v>71231.922626853833</v>
      </c>
      <c r="K32" s="49">
        <f t="shared" si="17"/>
        <v>71231.922626853833</v>
      </c>
      <c r="L32" s="49">
        <f t="shared" si="17"/>
        <v>71231.922626853833</v>
      </c>
      <c r="M32" s="49">
        <f t="shared" si="17"/>
        <v>71231.922626853833</v>
      </c>
      <c r="N32" s="49">
        <f t="shared" si="17"/>
        <v>71231.922626853833</v>
      </c>
      <c r="O32" s="49">
        <f t="shared" si="17"/>
        <v>71231.922626853833</v>
      </c>
      <c r="P32" s="49">
        <f t="shared" si="17"/>
        <v>71231.922626853833</v>
      </c>
      <c r="Q32" s="49">
        <f t="shared" si="17"/>
        <v>71231.922626853833</v>
      </c>
      <c r="R32" s="49">
        <f t="shared" si="17"/>
        <v>71231.922626853833</v>
      </c>
      <c r="S32" s="49">
        <f t="shared" si="17"/>
        <v>71231.922626853833</v>
      </c>
      <c r="T32" s="50">
        <f t="shared" si="17"/>
        <v>71231.922626853833</v>
      </c>
    </row>
    <row r="33" spans="1:20">
      <c r="A33" s="2">
        <v>1</v>
      </c>
      <c r="B33" s="1"/>
      <c r="C33" s="1"/>
      <c r="D33" s="19" t="str">
        <f>VLOOKUP(A33,TIPOLOGIA!$D$10:$E$12,2,0)</f>
        <v>MICROÔNIBUS</v>
      </c>
      <c r="E33" s="20" t="s">
        <v>20</v>
      </c>
      <c r="F33" s="51">
        <f>+F29*$T$26</f>
        <v>1187.1987104475641</v>
      </c>
      <c r="G33" s="51">
        <f t="shared" ref="G33:T33" si="18">+G29*$T$26</f>
        <v>1187.1987104475641</v>
      </c>
      <c r="H33" s="51">
        <f t="shared" si="18"/>
        <v>1187.1987104475641</v>
      </c>
      <c r="I33" s="51">
        <f t="shared" si="18"/>
        <v>1187.1987104475641</v>
      </c>
      <c r="J33" s="51">
        <f t="shared" si="18"/>
        <v>1187.1987104475641</v>
      </c>
      <c r="K33" s="51">
        <f t="shared" si="18"/>
        <v>1187.1987104475641</v>
      </c>
      <c r="L33" s="51">
        <f t="shared" si="18"/>
        <v>1187.1987104475641</v>
      </c>
      <c r="M33" s="51">
        <f t="shared" si="18"/>
        <v>1187.1987104475641</v>
      </c>
      <c r="N33" s="51">
        <f t="shared" si="18"/>
        <v>1187.1987104475641</v>
      </c>
      <c r="O33" s="51">
        <f t="shared" si="18"/>
        <v>1187.1987104475641</v>
      </c>
      <c r="P33" s="51">
        <f t="shared" si="18"/>
        <v>1187.1987104475641</v>
      </c>
      <c r="Q33" s="51">
        <f t="shared" si="18"/>
        <v>1187.1987104475641</v>
      </c>
      <c r="R33" s="51">
        <f t="shared" si="18"/>
        <v>1187.1987104475641</v>
      </c>
      <c r="S33" s="51">
        <f t="shared" si="18"/>
        <v>1187.1987104475641</v>
      </c>
      <c r="T33" s="52">
        <f t="shared" si="18"/>
        <v>1187.1987104475641</v>
      </c>
    </row>
    <row r="34" spans="1:20">
      <c r="A34" s="2">
        <v>2</v>
      </c>
      <c r="B34" s="1"/>
      <c r="C34" s="1"/>
      <c r="D34" s="432" t="str">
        <f>VLOOKUP(A34,TIPOLOGIA!$D$10:$E$12,2,0)</f>
        <v>CONVENCIONAL</v>
      </c>
      <c r="E34" s="433" t="s">
        <v>20</v>
      </c>
      <c r="F34" s="438">
        <f t="shared" ref="F34:T34" si="19">+F30*$T$26</f>
        <v>2374.3974208951281</v>
      </c>
      <c r="G34" s="438">
        <f t="shared" si="19"/>
        <v>2374.3974208951281</v>
      </c>
      <c r="H34" s="438">
        <f t="shared" si="19"/>
        <v>2374.3974208951281</v>
      </c>
      <c r="I34" s="438">
        <f t="shared" si="19"/>
        <v>2374.3974208951281</v>
      </c>
      <c r="J34" s="438">
        <f t="shared" si="19"/>
        <v>2374.3974208951281</v>
      </c>
      <c r="K34" s="438">
        <f t="shared" si="19"/>
        <v>2374.3974208951281</v>
      </c>
      <c r="L34" s="438">
        <f t="shared" si="19"/>
        <v>2374.3974208951281</v>
      </c>
      <c r="M34" s="438">
        <f t="shared" si="19"/>
        <v>2374.3974208951281</v>
      </c>
      <c r="N34" s="438">
        <f t="shared" si="19"/>
        <v>2374.3974208951281</v>
      </c>
      <c r="O34" s="438">
        <f t="shared" si="19"/>
        <v>2374.3974208951281</v>
      </c>
      <c r="P34" s="438">
        <f t="shared" si="19"/>
        <v>2374.3974208951281</v>
      </c>
      <c r="Q34" s="438">
        <f t="shared" si="19"/>
        <v>2374.3974208951281</v>
      </c>
      <c r="R34" s="438">
        <f t="shared" si="19"/>
        <v>2374.3974208951281</v>
      </c>
      <c r="S34" s="438">
        <f t="shared" si="19"/>
        <v>2374.3974208951281</v>
      </c>
      <c r="T34" s="439">
        <f t="shared" si="19"/>
        <v>2374.3974208951281</v>
      </c>
    </row>
    <row r="35" spans="1:20">
      <c r="A35" s="2">
        <v>3</v>
      </c>
      <c r="B35" s="1"/>
      <c r="C35" s="1"/>
      <c r="D35" s="24" t="str">
        <f>VLOOKUP(A35,TIPOLOGIA!$D$10:$E$12,2,0)</f>
        <v>-</v>
      </c>
      <c r="E35" s="25" t="s">
        <v>20</v>
      </c>
      <c r="F35" s="55">
        <f t="shared" ref="F35:T35" si="20">+F31*$T$26</f>
        <v>0</v>
      </c>
      <c r="G35" s="55">
        <f t="shared" si="20"/>
        <v>0</v>
      </c>
      <c r="H35" s="55">
        <f t="shared" si="20"/>
        <v>0</v>
      </c>
      <c r="I35" s="55">
        <f t="shared" si="20"/>
        <v>0</v>
      </c>
      <c r="J35" s="55">
        <f t="shared" si="20"/>
        <v>0</v>
      </c>
      <c r="K35" s="55">
        <f t="shared" si="20"/>
        <v>0</v>
      </c>
      <c r="L35" s="55">
        <f t="shared" si="20"/>
        <v>0</v>
      </c>
      <c r="M35" s="55">
        <f t="shared" si="20"/>
        <v>0</v>
      </c>
      <c r="N35" s="55">
        <f t="shared" si="20"/>
        <v>0</v>
      </c>
      <c r="O35" s="55">
        <f t="shared" si="20"/>
        <v>0</v>
      </c>
      <c r="P35" s="55">
        <f t="shared" si="20"/>
        <v>0</v>
      </c>
      <c r="Q35" s="55">
        <f t="shared" si="20"/>
        <v>0</v>
      </c>
      <c r="R35" s="55">
        <f t="shared" si="20"/>
        <v>0</v>
      </c>
      <c r="S35" s="55">
        <f t="shared" si="20"/>
        <v>0</v>
      </c>
      <c r="T35" s="56">
        <f t="shared" si="20"/>
        <v>0</v>
      </c>
    </row>
    <row r="36" spans="1:20" ht="18" customHeight="1">
      <c r="B36" s="1"/>
      <c r="C36" s="6" t="s">
        <v>11</v>
      </c>
      <c r="D36" s="21"/>
      <c r="E36" s="14" t="s">
        <v>20</v>
      </c>
      <c r="F36" s="49">
        <f t="shared" ref="F36:T36" si="21">SUM(F33:F35)</f>
        <v>3561.5961313426924</v>
      </c>
      <c r="G36" s="49">
        <f t="shared" si="21"/>
        <v>3561.5961313426924</v>
      </c>
      <c r="H36" s="49">
        <f t="shared" si="21"/>
        <v>3561.5961313426924</v>
      </c>
      <c r="I36" s="49">
        <f t="shared" si="21"/>
        <v>3561.5961313426924</v>
      </c>
      <c r="J36" s="49">
        <f t="shared" si="21"/>
        <v>3561.5961313426924</v>
      </c>
      <c r="K36" s="49">
        <f t="shared" si="21"/>
        <v>3561.5961313426924</v>
      </c>
      <c r="L36" s="49">
        <f t="shared" si="21"/>
        <v>3561.5961313426924</v>
      </c>
      <c r="M36" s="49">
        <f t="shared" si="21"/>
        <v>3561.5961313426924</v>
      </c>
      <c r="N36" s="49">
        <f t="shared" si="21"/>
        <v>3561.5961313426924</v>
      </c>
      <c r="O36" s="49">
        <f t="shared" si="21"/>
        <v>3561.5961313426924</v>
      </c>
      <c r="P36" s="49">
        <f t="shared" si="21"/>
        <v>3561.5961313426924</v>
      </c>
      <c r="Q36" s="49">
        <f t="shared" si="21"/>
        <v>3561.5961313426924</v>
      </c>
      <c r="R36" s="49">
        <f t="shared" si="21"/>
        <v>3561.5961313426924</v>
      </c>
      <c r="S36" s="49">
        <f t="shared" si="21"/>
        <v>3561.5961313426924</v>
      </c>
      <c r="T36" s="50">
        <f t="shared" si="21"/>
        <v>3561.5961313426924</v>
      </c>
    </row>
    <row r="37" spans="1:20">
      <c r="A37" s="2">
        <v>1</v>
      </c>
      <c r="B37" s="1"/>
      <c r="C37" s="1"/>
      <c r="D37" s="19" t="str">
        <f>VLOOKUP(A37,TIPOLOGIA!$D$10:$E$12,2,0)</f>
        <v>MICROÔNIBUS</v>
      </c>
      <c r="E37" s="20" t="s">
        <v>20</v>
      </c>
      <c r="F37" s="57">
        <f t="shared" ref="F37:T37" si="22">SUM(F29,F33)</f>
        <v>24931.172919398843</v>
      </c>
      <c r="G37" s="57">
        <f t="shared" si="22"/>
        <v>24931.172919398843</v>
      </c>
      <c r="H37" s="57">
        <f t="shared" si="22"/>
        <v>24931.172919398843</v>
      </c>
      <c r="I37" s="57">
        <f t="shared" si="22"/>
        <v>24931.172919398843</v>
      </c>
      <c r="J37" s="57">
        <f t="shared" si="22"/>
        <v>24931.172919398843</v>
      </c>
      <c r="K37" s="57">
        <f t="shared" si="22"/>
        <v>24931.172919398843</v>
      </c>
      <c r="L37" s="57">
        <f t="shared" si="22"/>
        <v>24931.172919398843</v>
      </c>
      <c r="M37" s="57">
        <f t="shared" si="22"/>
        <v>24931.172919398843</v>
      </c>
      <c r="N37" s="57">
        <f t="shared" si="22"/>
        <v>24931.172919398843</v>
      </c>
      <c r="O37" s="57">
        <f t="shared" si="22"/>
        <v>24931.172919398843</v>
      </c>
      <c r="P37" s="57">
        <f t="shared" si="22"/>
        <v>24931.172919398843</v>
      </c>
      <c r="Q37" s="57">
        <f t="shared" si="22"/>
        <v>24931.172919398843</v>
      </c>
      <c r="R37" s="57">
        <f t="shared" si="22"/>
        <v>24931.172919398843</v>
      </c>
      <c r="S37" s="57">
        <f t="shared" si="22"/>
        <v>24931.172919398843</v>
      </c>
      <c r="T37" s="58">
        <f t="shared" si="22"/>
        <v>24931.172919398843</v>
      </c>
    </row>
    <row r="38" spans="1:20">
      <c r="A38" s="2">
        <v>2</v>
      </c>
      <c r="B38" s="1"/>
      <c r="C38" s="1"/>
      <c r="D38" s="432" t="str">
        <f>VLOOKUP(A38,TIPOLOGIA!$D$10:$E$12,2,0)</f>
        <v>CONVENCIONAL</v>
      </c>
      <c r="E38" s="433" t="s">
        <v>20</v>
      </c>
      <c r="F38" s="440">
        <f t="shared" ref="F38:T38" si="23">SUM(F30,F34)</f>
        <v>49862.345838797686</v>
      </c>
      <c r="G38" s="440">
        <f t="shared" si="23"/>
        <v>49862.345838797686</v>
      </c>
      <c r="H38" s="440">
        <f t="shared" si="23"/>
        <v>49862.345838797686</v>
      </c>
      <c r="I38" s="440">
        <f t="shared" si="23"/>
        <v>49862.345838797686</v>
      </c>
      <c r="J38" s="440">
        <f t="shared" si="23"/>
        <v>49862.345838797686</v>
      </c>
      <c r="K38" s="440">
        <f t="shared" si="23"/>
        <v>49862.345838797686</v>
      </c>
      <c r="L38" s="440">
        <f t="shared" si="23"/>
        <v>49862.345838797686</v>
      </c>
      <c r="M38" s="440">
        <f t="shared" si="23"/>
        <v>49862.345838797686</v>
      </c>
      <c r="N38" s="440">
        <f t="shared" si="23"/>
        <v>49862.345838797686</v>
      </c>
      <c r="O38" s="440">
        <f t="shared" si="23"/>
        <v>49862.345838797686</v>
      </c>
      <c r="P38" s="440">
        <f t="shared" si="23"/>
        <v>49862.345838797686</v>
      </c>
      <c r="Q38" s="440">
        <f t="shared" si="23"/>
        <v>49862.345838797686</v>
      </c>
      <c r="R38" s="440">
        <f t="shared" si="23"/>
        <v>49862.345838797686</v>
      </c>
      <c r="S38" s="440">
        <f t="shared" si="23"/>
        <v>49862.345838797686</v>
      </c>
      <c r="T38" s="441">
        <f t="shared" si="23"/>
        <v>49862.345838797686</v>
      </c>
    </row>
    <row r="39" spans="1:20">
      <c r="A39" s="2">
        <v>3</v>
      </c>
      <c r="B39" s="1"/>
      <c r="C39" s="1"/>
      <c r="D39" s="24" t="str">
        <f>VLOOKUP(A39,TIPOLOGIA!$D$10:$E$12,2,0)</f>
        <v>-</v>
      </c>
      <c r="E39" s="25" t="s">
        <v>20</v>
      </c>
      <c r="F39" s="61">
        <f t="shared" ref="F39:T39" si="24">SUM(F31,F35)</f>
        <v>0</v>
      </c>
      <c r="G39" s="61">
        <f t="shared" si="24"/>
        <v>0</v>
      </c>
      <c r="H39" s="61">
        <f t="shared" si="24"/>
        <v>0</v>
      </c>
      <c r="I39" s="61">
        <f t="shared" si="24"/>
        <v>0</v>
      </c>
      <c r="J39" s="61">
        <f t="shared" si="24"/>
        <v>0</v>
      </c>
      <c r="K39" s="61">
        <f t="shared" si="24"/>
        <v>0</v>
      </c>
      <c r="L39" s="61">
        <f t="shared" si="24"/>
        <v>0</v>
      </c>
      <c r="M39" s="61">
        <f t="shared" si="24"/>
        <v>0</v>
      </c>
      <c r="N39" s="61">
        <f t="shared" si="24"/>
        <v>0</v>
      </c>
      <c r="O39" s="61">
        <f t="shared" si="24"/>
        <v>0</v>
      </c>
      <c r="P39" s="61">
        <f t="shared" si="24"/>
        <v>0</v>
      </c>
      <c r="Q39" s="61">
        <f t="shared" si="24"/>
        <v>0</v>
      </c>
      <c r="R39" s="61">
        <f t="shared" si="24"/>
        <v>0</v>
      </c>
      <c r="S39" s="61">
        <f t="shared" si="24"/>
        <v>0</v>
      </c>
      <c r="T39" s="62">
        <f t="shared" si="24"/>
        <v>0</v>
      </c>
    </row>
    <row r="40" spans="1:20" ht="18" customHeight="1">
      <c r="B40" s="1"/>
      <c r="C40" s="6" t="s">
        <v>177</v>
      </c>
      <c r="D40" s="21"/>
      <c r="E40" s="14" t="s">
        <v>20</v>
      </c>
      <c r="F40" s="49">
        <f t="shared" ref="F40:T40" si="25">SUM(F37:F39)</f>
        <v>74793.518758196529</v>
      </c>
      <c r="G40" s="49">
        <f t="shared" si="25"/>
        <v>74793.518758196529</v>
      </c>
      <c r="H40" s="49">
        <f t="shared" si="25"/>
        <v>74793.518758196529</v>
      </c>
      <c r="I40" s="49">
        <f t="shared" si="25"/>
        <v>74793.518758196529</v>
      </c>
      <c r="J40" s="49">
        <f t="shared" si="25"/>
        <v>74793.518758196529</v>
      </c>
      <c r="K40" s="49">
        <f t="shared" si="25"/>
        <v>74793.518758196529</v>
      </c>
      <c r="L40" s="49">
        <f t="shared" si="25"/>
        <v>74793.518758196529</v>
      </c>
      <c r="M40" s="49">
        <f t="shared" si="25"/>
        <v>74793.518758196529</v>
      </c>
      <c r="N40" s="49">
        <f t="shared" si="25"/>
        <v>74793.518758196529</v>
      </c>
      <c r="O40" s="49">
        <f t="shared" si="25"/>
        <v>74793.518758196529</v>
      </c>
      <c r="P40" s="49">
        <f t="shared" si="25"/>
        <v>74793.518758196529</v>
      </c>
      <c r="Q40" s="49">
        <f t="shared" si="25"/>
        <v>74793.518758196529</v>
      </c>
      <c r="R40" s="49">
        <f t="shared" si="25"/>
        <v>74793.518758196529</v>
      </c>
      <c r="S40" s="49">
        <f t="shared" si="25"/>
        <v>74793.518758196529</v>
      </c>
      <c r="T40" s="50">
        <f t="shared" si="25"/>
        <v>74793.518758196529</v>
      </c>
    </row>
    <row r="41" spans="1:20" ht="18" customHeight="1">
      <c r="B41" s="1"/>
      <c r="C41" s="6" t="s">
        <v>178</v>
      </c>
      <c r="D41" s="21"/>
      <c r="E41" s="14" t="s">
        <v>176</v>
      </c>
      <c r="F41" s="49">
        <f>+F40*12</f>
        <v>897522.22509835835</v>
      </c>
      <c r="G41" s="49">
        <f t="shared" ref="G41:T41" si="26">+G40*12</f>
        <v>897522.22509835835</v>
      </c>
      <c r="H41" s="49">
        <f t="shared" si="26"/>
        <v>897522.22509835835</v>
      </c>
      <c r="I41" s="49">
        <f t="shared" si="26"/>
        <v>897522.22509835835</v>
      </c>
      <c r="J41" s="49">
        <f t="shared" si="26"/>
        <v>897522.22509835835</v>
      </c>
      <c r="K41" s="49">
        <f t="shared" si="26"/>
        <v>897522.22509835835</v>
      </c>
      <c r="L41" s="49">
        <f t="shared" si="26"/>
        <v>897522.22509835835</v>
      </c>
      <c r="M41" s="49">
        <f t="shared" si="26"/>
        <v>897522.22509835835</v>
      </c>
      <c r="N41" s="49">
        <f t="shared" si="26"/>
        <v>897522.22509835835</v>
      </c>
      <c r="O41" s="49">
        <f t="shared" si="26"/>
        <v>897522.22509835835</v>
      </c>
      <c r="P41" s="49">
        <f t="shared" si="26"/>
        <v>897522.22509835835</v>
      </c>
      <c r="Q41" s="49">
        <f t="shared" si="26"/>
        <v>897522.22509835835</v>
      </c>
      <c r="R41" s="49">
        <f t="shared" si="26"/>
        <v>897522.22509835835</v>
      </c>
      <c r="S41" s="49">
        <f t="shared" si="26"/>
        <v>897522.22509835835</v>
      </c>
      <c r="T41" s="50">
        <f t="shared" si="26"/>
        <v>897522.22509835835</v>
      </c>
    </row>
    <row r="42" spans="1:20">
      <c r="B42" s="1"/>
      <c r="C42" s="1"/>
      <c r="D42" s="1"/>
      <c r="E42" s="36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>
      <c r="B43" s="1"/>
      <c r="C43" s="431" t="str">
        <f>+MENU!$C$13</f>
        <v>1.2.1 - PERCURSO MÉDIO MENSAL - PMM</v>
      </c>
      <c r="D43" s="1"/>
      <c r="E43" s="36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>
      <c r="B44" s="1"/>
      <c r="C44" s="71"/>
      <c r="D44" s="1"/>
      <c r="E44" s="36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8" customHeight="1">
      <c r="B45" s="1"/>
      <c r="C45" s="6"/>
      <c r="D45" s="567" t="s">
        <v>181</v>
      </c>
      <c r="E45" s="571"/>
      <c r="F45" s="569">
        <v>1</v>
      </c>
      <c r="G45" s="569">
        <f t="shared" ref="G45:T45" si="27">+F45+1</f>
        <v>2</v>
      </c>
      <c r="H45" s="569">
        <f t="shared" si="27"/>
        <v>3</v>
      </c>
      <c r="I45" s="569">
        <f t="shared" si="27"/>
        <v>4</v>
      </c>
      <c r="J45" s="569">
        <f t="shared" si="27"/>
        <v>5</v>
      </c>
      <c r="K45" s="569">
        <f t="shared" si="27"/>
        <v>6</v>
      </c>
      <c r="L45" s="569">
        <f t="shared" si="27"/>
        <v>7</v>
      </c>
      <c r="M45" s="569">
        <f t="shared" si="27"/>
        <v>8</v>
      </c>
      <c r="N45" s="569">
        <f t="shared" si="27"/>
        <v>9</v>
      </c>
      <c r="O45" s="569">
        <f t="shared" si="27"/>
        <v>10</v>
      </c>
      <c r="P45" s="569">
        <f t="shared" si="27"/>
        <v>11</v>
      </c>
      <c r="Q45" s="569">
        <f t="shared" si="27"/>
        <v>12</v>
      </c>
      <c r="R45" s="569">
        <f t="shared" si="27"/>
        <v>13</v>
      </c>
      <c r="S45" s="569">
        <f t="shared" si="27"/>
        <v>14</v>
      </c>
      <c r="T45" s="570">
        <f t="shared" si="27"/>
        <v>15</v>
      </c>
    </row>
    <row r="46" spans="1:20">
      <c r="A46" s="2">
        <v>1</v>
      </c>
      <c r="B46" s="1"/>
      <c r="C46" s="1"/>
      <c r="D46" s="19" t="str">
        <f>VLOOKUP(A46,TIPOLOGIA!$D$10:$E$12,2,0)</f>
        <v>MICROÔNIBUS</v>
      </c>
      <c r="E46" s="20" t="s">
        <v>20</v>
      </c>
      <c r="F46" s="51">
        <f>IFERROR(F37/F12,0)</f>
        <v>6232.7932298497108</v>
      </c>
      <c r="G46" s="51">
        <f t="shared" ref="G46:T46" si="28">IFERROR(G37/G12,0)</f>
        <v>6232.7932298497108</v>
      </c>
      <c r="H46" s="51">
        <f t="shared" si="28"/>
        <v>6232.7932298497108</v>
      </c>
      <c r="I46" s="51">
        <f t="shared" si="28"/>
        <v>6232.7932298497108</v>
      </c>
      <c r="J46" s="51">
        <f t="shared" si="28"/>
        <v>6232.7932298497108</v>
      </c>
      <c r="K46" s="51">
        <f t="shared" si="28"/>
        <v>6232.7932298497108</v>
      </c>
      <c r="L46" s="51">
        <f t="shared" si="28"/>
        <v>6232.7932298497108</v>
      </c>
      <c r="M46" s="51">
        <f t="shared" si="28"/>
        <v>6232.7932298497108</v>
      </c>
      <c r="N46" s="51">
        <f t="shared" si="28"/>
        <v>6232.7932298497108</v>
      </c>
      <c r="O46" s="51">
        <f t="shared" si="28"/>
        <v>6232.7932298497108</v>
      </c>
      <c r="P46" s="51">
        <f t="shared" si="28"/>
        <v>6232.7932298497108</v>
      </c>
      <c r="Q46" s="51">
        <f t="shared" si="28"/>
        <v>6232.7932298497108</v>
      </c>
      <c r="R46" s="51">
        <f t="shared" si="28"/>
        <v>6232.7932298497108</v>
      </c>
      <c r="S46" s="51">
        <f t="shared" si="28"/>
        <v>6232.7932298497108</v>
      </c>
      <c r="T46" s="52">
        <f t="shared" si="28"/>
        <v>6232.7932298497108</v>
      </c>
    </row>
    <row r="47" spans="1:20">
      <c r="A47" s="2">
        <v>2</v>
      </c>
      <c r="B47" s="1"/>
      <c r="C47" s="1"/>
      <c r="D47" s="432" t="str">
        <f>VLOOKUP(A47,TIPOLOGIA!$D$10:$E$12,2,0)</f>
        <v>CONVENCIONAL</v>
      </c>
      <c r="E47" s="433" t="s">
        <v>20</v>
      </c>
      <c r="F47" s="438">
        <f>IFERROR(F38/F13,2)</f>
        <v>6232.7932298497108</v>
      </c>
      <c r="G47" s="438">
        <f t="shared" ref="G47:T47" si="29">IFERROR(G38/G13,2)</f>
        <v>6232.7932298497108</v>
      </c>
      <c r="H47" s="438">
        <f t="shared" si="29"/>
        <v>6232.7932298497108</v>
      </c>
      <c r="I47" s="438">
        <f t="shared" si="29"/>
        <v>6232.7932298497108</v>
      </c>
      <c r="J47" s="438">
        <f t="shared" si="29"/>
        <v>6232.7932298497108</v>
      </c>
      <c r="K47" s="438">
        <f t="shared" si="29"/>
        <v>6232.7932298497108</v>
      </c>
      <c r="L47" s="438">
        <f t="shared" si="29"/>
        <v>6232.7932298497108</v>
      </c>
      <c r="M47" s="438">
        <f t="shared" si="29"/>
        <v>6232.7932298497108</v>
      </c>
      <c r="N47" s="438">
        <f t="shared" si="29"/>
        <v>6232.7932298497108</v>
      </c>
      <c r="O47" s="438">
        <f t="shared" si="29"/>
        <v>6232.7932298497108</v>
      </c>
      <c r="P47" s="438">
        <f t="shared" si="29"/>
        <v>6232.7932298497108</v>
      </c>
      <c r="Q47" s="438">
        <f t="shared" si="29"/>
        <v>6232.7932298497108</v>
      </c>
      <c r="R47" s="438">
        <f t="shared" si="29"/>
        <v>6232.7932298497108</v>
      </c>
      <c r="S47" s="438">
        <f t="shared" si="29"/>
        <v>6232.7932298497108</v>
      </c>
      <c r="T47" s="439">
        <f t="shared" si="29"/>
        <v>6232.7932298497108</v>
      </c>
    </row>
    <row r="48" spans="1:20">
      <c r="A48" s="2">
        <v>3</v>
      </c>
      <c r="B48" s="1"/>
      <c r="C48" s="1"/>
      <c r="D48" s="24" t="str">
        <f>VLOOKUP(A48,TIPOLOGIA!$D$10:$E$12,2,0)</f>
        <v>-</v>
      </c>
      <c r="E48" s="25" t="s">
        <v>20</v>
      </c>
      <c r="F48" s="55">
        <f>IFERROR(F39/F14,0)</f>
        <v>0</v>
      </c>
      <c r="G48" s="55">
        <f t="shared" ref="G48:T48" si="30">IFERROR(G39/G14,0)</f>
        <v>0</v>
      </c>
      <c r="H48" s="55">
        <f t="shared" si="30"/>
        <v>0</v>
      </c>
      <c r="I48" s="55">
        <f t="shared" si="30"/>
        <v>0</v>
      </c>
      <c r="J48" s="55">
        <f t="shared" si="30"/>
        <v>0</v>
      </c>
      <c r="K48" s="55">
        <f t="shared" si="30"/>
        <v>0</v>
      </c>
      <c r="L48" s="55">
        <f t="shared" si="30"/>
        <v>0</v>
      </c>
      <c r="M48" s="55">
        <f t="shared" si="30"/>
        <v>0</v>
      </c>
      <c r="N48" s="55">
        <f t="shared" si="30"/>
        <v>0</v>
      </c>
      <c r="O48" s="55">
        <f t="shared" si="30"/>
        <v>0</v>
      </c>
      <c r="P48" s="55">
        <f t="shared" si="30"/>
        <v>0</v>
      </c>
      <c r="Q48" s="55">
        <f t="shared" si="30"/>
        <v>0</v>
      </c>
      <c r="R48" s="55">
        <f t="shared" si="30"/>
        <v>0</v>
      </c>
      <c r="S48" s="55">
        <f t="shared" si="30"/>
        <v>0</v>
      </c>
      <c r="T48" s="56">
        <f t="shared" si="30"/>
        <v>0</v>
      </c>
    </row>
    <row r="49" spans="2:20">
      <c r="B49" s="1"/>
      <c r="C49" s="1"/>
      <c r="D49" s="1"/>
      <c r="E49" s="36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2:20" ht="15.75">
      <c r="B50" s="1"/>
      <c r="C50" s="431" t="str">
        <f>+MENU!$C$14</f>
        <v>1.3. - PASSAGEIROS TRANSPORTADOS</v>
      </c>
      <c r="D50" s="1"/>
      <c r="E50" s="36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2:20">
      <c r="B51" s="1"/>
      <c r="C51" s="71"/>
      <c r="D51" s="1"/>
      <c r="E51" s="36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2:20" ht="18" customHeight="1">
      <c r="B52" s="1"/>
      <c r="C52" s="6"/>
      <c r="D52" s="567" t="s">
        <v>182</v>
      </c>
      <c r="E52" s="571"/>
      <c r="F52" s="569">
        <v>1</v>
      </c>
      <c r="G52" s="569">
        <f t="shared" ref="G52:T52" si="31">+F52+1</f>
        <v>2</v>
      </c>
      <c r="H52" s="569">
        <f t="shared" si="31"/>
        <v>3</v>
      </c>
      <c r="I52" s="569">
        <f t="shared" si="31"/>
        <v>4</v>
      </c>
      <c r="J52" s="569">
        <f t="shared" si="31"/>
        <v>5</v>
      </c>
      <c r="K52" s="569">
        <f t="shared" si="31"/>
        <v>6</v>
      </c>
      <c r="L52" s="569">
        <f t="shared" si="31"/>
        <v>7</v>
      </c>
      <c r="M52" s="569">
        <f t="shared" si="31"/>
        <v>8</v>
      </c>
      <c r="N52" s="569">
        <f t="shared" si="31"/>
        <v>9</v>
      </c>
      <c r="O52" s="569">
        <f t="shared" si="31"/>
        <v>10</v>
      </c>
      <c r="P52" s="569">
        <f t="shared" si="31"/>
        <v>11</v>
      </c>
      <c r="Q52" s="569">
        <f t="shared" si="31"/>
        <v>12</v>
      </c>
      <c r="R52" s="569">
        <f t="shared" si="31"/>
        <v>13</v>
      </c>
      <c r="S52" s="569">
        <f t="shared" si="31"/>
        <v>14</v>
      </c>
      <c r="T52" s="570">
        <f t="shared" si="31"/>
        <v>15</v>
      </c>
    </row>
    <row r="53" spans="2:20" ht="18" customHeight="1">
      <c r="B53" s="1"/>
      <c r="C53" s="6" t="s">
        <v>17</v>
      </c>
      <c r="D53" s="21"/>
      <c r="E53" s="14" t="s">
        <v>6</v>
      </c>
      <c r="F53" s="39">
        <f>SUM(F54,F55,F57)</f>
        <v>118377</v>
      </c>
      <c r="G53" s="39">
        <f t="shared" ref="G53:T53" si="32">SUM(G54,G55,G57)</f>
        <v>118377</v>
      </c>
      <c r="H53" s="39">
        <f t="shared" si="32"/>
        <v>118377</v>
      </c>
      <c r="I53" s="39">
        <f t="shared" si="32"/>
        <v>118377</v>
      </c>
      <c r="J53" s="39">
        <f t="shared" si="32"/>
        <v>118377</v>
      </c>
      <c r="K53" s="39">
        <f t="shared" si="32"/>
        <v>118377</v>
      </c>
      <c r="L53" s="39">
        <f t="shared" si="32"/>
        <v>118377</v>
      </c>
      <c r="M53" s="39">
        <f t="shared" si="32"/>
        <v>118377</v>
      </c>
      <c r="N53" s="39">
        <f t="shared" si="32"/>
        <v>118377</v>
      </c>
      <c r="O53" s="39">
        <f t="shared" si="32"/>
        <v>118377</v>
      </c>
      <c r="P53" s="39">
        <f t="shared" si="32"/>
        <v>118377</v>
      </c>
      <c r="Q53" s="39">
        <f t="shared" si="32"/>
        <v>118377</v>
      </c>
      <c r="R53" s="39">
        <f t="shared" si="32"/>
        <v>118377</v>
      </c>
      <c r="S53" s="39">
        <f t="shared" si="32"/>
        <v>118377</v>
      </c>
      <c r="T53" s="40">
        <f t="shared" si="32"/>
        <v>118377</v>
      </c>
    </row>
    <row r="54" spans="2:20" ht="25.5">
      <c r="B54" s="1"/>
      <c r="C54" s="1"/>
      <c r="D54" s="22" t="s">
        <v>504</v>
      </c>
      <c r="E54" s="20" t="s">
        <v>16</v>
      </c>
      <c r="F54" s="41">
        <v>92078</v>
      </c>
      <c r="G54" s="41">
        <f>F54</f>
        <v>92078</v>
      </c>
      <c r="H54" s="41">
        <f t="shared" ref="H54:T54" si="33">G54</f>
        <v>92078</v>
      </c>
      <c r="I54" s="41">
        <f t="shared" si="33"/>
        <v>92078</v>
      </c>
      <c r="J54" s="41">
        <f t="shared" si="33"/>
        <v>92078</v>
      </c>
      <c r="K54" s="41">
        <f t="shared" si="33"/>
        <v>92078</v>
      </c>
      <c r="L54" s="41">
        <f t="shared" si="33"/>
        <v>92078</v>
      </c>
      <c r="M54" s="41">
        <f t="shared" si="33"/>
        <v>92078</v>
      </c>
      <c r="N54" s="41">
        <f t="shared" si="33"/>
        <v>92078</v>
      </c>
      <c r="O54" s="41">
        <f t="shared" si="33"/>
        <v>92078</v>
      </c>
      <c r="P54" s="41">
        <f t="shared" si="33"/>
        <v>92078</v>
      </c>
      <c r="Q54" s="41">
        <f t="shared" si="33"/>
        <v>92078</v>
      </c>
      <c r="R54" s="41">
        <f t="shared" si="33"/>
        <v>92078</v>
      </c>
      <c r="S54" s="41">
        <f t="shared" si="33"/>
        <v>92078</v>
      </c>
      <c r="T54" s="394">
        <f t="shared" si="33"/>
        <v>92078</v>
      </c>
    </row>
    <row r="55" spans="2:20" ht="25.5">
      <c r="B55" s="1"/>
      <c r="C55" s="1"/>
      <c r="D55" s="38" t="s">
        <v>21</v>
      </c>
      <c r="E55" s="20" t="s">
        <v>16</v>
      </c>
      <c r="F55" s="43">
        <v>1291</v>
      </c>
      <c r="G55" s="43">
        <f>F55</f>
        <v>1291</v>
      </c>
      <c r="H55" s="43">
        <f t="shared" ref="H55:T55" si="34">G55</f>
        <v>1291</v>
      </c>
      <c r="I55" s="43">
        <f t="shared" si="34"/>
        <v>1291</v>
      </c>
      <c r="J55" s="43">
        <f t="shared" si="34"/>
        <v>1291</v>
      </c>
      <c r="K55" s="43">
        <f t="shared" si="34"/>
        <v>1291</v>
      </c>
      <c r="L55" s="43">
        <f t="shared" si="34"/>
        <v>1291</v>
      </c>
      <c r="M55" s="43">
        <f t="shared" si="34"/>
        <v>1291</v>
      </c>
      <c r="N55" s="43">
        <f t="shared" si="34"/>
        <v>1291</v>
      </c>
      <c r="O55" s="43">
        <f t="shared" si="34"/>
        <v>1291</v>
      </c>
      <c r="P55" s="43">
        <f t="shared" si="34"/>
        <v>1291</v>
      </c>
      <c r="Q55" s="43">
        <f t="shared" si="34"/>
        <v>1291</v>
      </c>
      <c r="R55" s="43">
        <f t="shared" si="34"/>
        <v>1291</v>
      </c>
      <c r="S55" s="43">
        <f t="shared" si="34"/>
        <v>1291</v>
      </c>
      <c r="T55" s="44">
        <f t="shared" si="34"/>
        <v>1291</v>
      </c>
    </row>
    <row r="56" spans="2:20" ht="25.5">
      <c r="B56" s="1"/>
      <c r="C56" s="1"/>
      <c r="D56" s="38" t="s">
        <v>22</v>
      </c>
      <c r="E56" s="20" t="s">
        <v>16</v>
      </c>
      <c r="F56" s="43">
        <f>ROUNDUP(F55*0.5,0)</f>
        <v>646</v>
      </c>
      <c r="G56" s="43">
        <f t="shared" ref="G56:T56" si="35">ROUNDUP(G55*0.5,0)</f>
        <v>646</v>
      </c>
      <c r="H56" s="43">
        <f t="shared" si="35"/>
        <v>646</v>
      </c>
      <c r="I56" s="43">
        <f t="shared" si="35"/>
        <v>646</v>
      </c>
      <c r="J56" s="43">
        <f t="shared" si="35"/>
        <v>646</v>
      </c>
      <c r="K56" s="43">
        <f t="shared" si="35"/>
        <v>646</v>
      </c>
      <c r="L56" s="43">
        <f t="shared" si="35"/>
        <v>646</v>
      </c>
      <c r="M56" s="43">
        <f t="shared" si="35"/>
        <v>646</v>
      </c>
      <c r="N56" s="43">
        <f t="shared" si="35"/>
        <v>646</v>
      </c>
      <c r="O56" s="43">
        <f t="shared" si="35"/>
        <v>646</v>
      </c>
      <c r="P56" s="43">
        <f t="shared" si="35"/>
        <v>646</v>
      </c>
      <c r="Q56" s="43">
        <f t="shared" si="35"/>
        <v>646</v>
      </c>
      <c r="R56" s="43">
        <f t="shared" si="35"/>
        <v>646</v>
      </c>
      <c r="S56" s="43">
        <f t="shared" si="35"/>
        <v>646</v>
      </c>
      <c r="T56" s="44">
        <f t="shared" si="35"/>
        <v>646</v>
      </c>
    </row>
    <row r="57" spans="2:20" ht="25.5">
      <c r="B57" s="1"/>
      <c r="C57" s="1"/>
      <c r="D57" s="38" t="s">
        <v>23</v>
      </c>
      <c r="E57" s="20" t="s">
        <v>16</v>
      </c>
      <c r="F57" s="43">
        <v>25008</v>
      </c>
      <c r="G57" s="43">
        <f>F57</f>
        <v>25008</v>
      </c>
      <c r="H57" s="43">
        <f t="shared" ref="H57:S57" si="36">G57</f>
        <v>25008</v>
      </c>
      <c r="I57" s="43">
        <f t="shared" si="36"/>
        <v>25008</v>
      </c>
      <c r="J57" s="43">
        <f t="shared" si="36"/>
        <v>25008</v>
      </c>
      <c r="K57" s="43">
        <f t="shared" si="36"/>
        <v>25008</v>
      </c>
      <c r="L57" s="43">
        <f t="shared" si="36"/>
        <v>25008</v>
      </c>
      <c r="M57" s="43">
        <f t="shared" si="36"/>
        <v>25008</v>
      </c>
      <c r="N57" s="43">
        <f t="shared" si="36"/>
        <v>25008</v>
      </c>
      <c r="O57" s="43">
        <f t="shared" si="36"/>
        <v>25008</v>
      </c>
      <c r="P57" s="43">
        <f t="shared" si="36"/>
        <v>25008</v>
      </c>
      <c r="Q57" s="43">
        <f t="shared" si="36"/>
        <v>25008</v>
      </c>
      <c r="R57" s="43">
        <f t="shared" si="36"/>
        <v>25008</v>
      </c>
      <c r="S57" s="43">
        <f t="shared" si="36"/>
        <v>25008</v>
      </c>
      <c r="T57" s="44">
        <f>+S57</f>
        <v>25008</v>
      </c>
    </row>
    <row r="58" spans="2:20" ht="25.5" customHeight="1">
      <c r="B58" s="1"/>
      <c r="C58" s="1"/>
      <c r="D58" s="456" t="s">
        <v>180</v>
      </c>
      <c r="E58" s="457" t="s">
        <v>16</v>
      </c>
      <c r="F58" s="458">
        <f>+F54+F56</f>
        <v>92724</v>
      </c>
      <c r="G58" s="458">
        <f t="shared" ref="G58:T58" si="37">+G54+G56</f>
        <v>92724</v>
      </c>
      <c r="H58" s="458">
        <f t="shared" si="37"/>
        <v>92724</v>
      </c>
      <c r="I58" s="458">
        <f t="shared" si="37"/>
        <v>92724</v>
      </c>
      <c r="J58" s="458">
        <f t="shared" si="37"/>
        <v>92724</v>
      </c>
      <c r="K58" s="458">
        <f t="shared" si="37"/>
        <v>92724</v>
      </c>
      <c r="L58" s="458">
        <f t="shared" si="37"/>
        <v>92724</v>
      </c>
      <c r="M58" s="458">
        <f t="shared" si="37"/>
        <v>92724</v>
      </c>
      <c r="N58" s="458">
        <f t="shared" si="37"/>
        <v>92724</v>
      </c>
      <c r="O58" s="458">
        <f t="shared" si="37"/>
        <v>92724</v>
      </c>
      <c r="P58" s="458">
        <f t="shared" si="37"/>
        <v>92724</v>
      </c>
      <c r="Q58" s="458">
        <f t="shared" si="37"/>
        <v>92724</v>
      </c>
      <c r="R58" s="458">
        <f t="shared" si="37"/>
        <v>92724</v>
      </c>
      <c r="S58" s="458">
        <f t="shared" si="37"/>
        <v>92724</v>
      </c>
      <c r="T58" s="459">
        <f t="shared" si="37"/>
        <v>92724</v>
      </c>
    </row>
    <row r="59" spans="2:20" ht="25.5" customHeight="1">
      <c r="B59" s="1"/>
      <c r="C59" s="1"/>
      <c r="D59" s="234" t="s">
        <v>179</v>
      </c>
      <c r="E59" s="235" t="s">
        <v>175</v>
      </c>
      <c r="F59" s="236">
        <f>+F58*12</f>
        <v>1112688</v>
      </c>
      <c r="G59" s="236">
        <f t="shared" ref="G59:T59" si="38">+G58*12</f>
        <v>1112688</v>
      </c>
      <c r="H59" s="236">
        <f t="shared" si="38"/>
        <v>1112688</v>
      </c>
      <c r="I59" s="236">
        <f t="shared" si="38"/>
        <v>1112688</v>
      </c>
      <c r="J59" s="236">
        <f t="shared" si="38"/>
        <v>1112688</v>
      </c>
      <c r="K59" s="236">
        <f t="shared" si="38"/>
        <v>1112688</v>
      </c>
      <c r="L59" s="236">
        <f t="shared" si="38"/>
        <v>1112688</v>
      </c>
      <c r="M59" s="236">
        <f t="shared" si="38"/>
        <v>1112688</v>
      </c>
      <c r="N59" s="236">
        <f t="shared" si="38"/>
        <v>1112688</v>
      </c>
      <c r="O59" s="236">
        <f t="shared" si="38"/>
        <v>1112688</v>
      </c>
      <c r="P59" s="236">
        <f t="shared" si="38"/>
        <v>1112688</v>
      </c>
      <c r="Q59" s="236">
        <f t="shared" si="38"/>
        <v>1112688</v>
      </c>
      <c r="R59" s="236">
        <f t="shared" si="38"/>
        <v>1112688</v>
      </c>
      <c r="S59" s="236">
        <f t="shared" si="38"/>
        <v>1112688</v>
      </c>
      <c r="T59" s="237">
        <f t="shared" si="38"/>
        <v>1112688</v>
      </c>
    </row>
    <row r="60" spans="2:20" ht="25.5" customHeight="1">
      <c r="B60" s="1"/>
      <c r="C60" s="1"/>
      <c r="D60" s="641" t="s">
        <v>505</v>
      </c>
      <c r="E60" s="72"/>
      <c r="F60" s="640"/>
      <c r="G60" s="640"/>
      <c r="H60" s="640"/>
      <c r="I60" s="640"/>
      <c r="J60" s="640"/>
      <c r="K60" s="640"/>
      <c r="L60" s="640"/>
      <c r="M60" s="640"/>
      <c r="N60" s="640"/>
      <c r="O60" s="640"/>
      <c r="P60" s="640"/>
      <c r="Q60" s="640"/>
      <c r="R60" s="640"/>
      <c r="S60" s="640"/>
      <c r="T60" s="640"/>
    </row>
  </sheetData>
  <pageMargins left="0.51181102362204722" right="0.51181102362204722" top="0.78740157480314965" bottom="0.78740157480314965" header="0.31496062992125984" footer="0.31496062992125984"/>
  <pageSetup paperSize="9" scale="69" fitToHeight="2" orientation="landscape" verticalDpi="300" r:id="rId1"/>
  <rowBreaks count="1" manualBreakCount="1">
    <brk id="49" min="1" max="1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40"/>
  <sheetViews>
    <sheetView showGridLines="0" tabSelected="1" view="pageBreakPreview" topLeftCell="C1" zoomScaleNormal="100" zoomScaleSheetLayoutView="100" workbookViewId="0">
      <selection activeCell="C118" sqref="C118:T119"/>
    </sheetView>
  </sheetViews>
  <sheetFormatPr defaultRowHeight="12.75"/>
  <cols>
    <col min="1" max="1" width="1.140625" style="2" customWidth="1"/>
    <col min="2" max="2" width="2.42578125" style="2" customWidth="1"/>
    <col min="3" max="3" width="2.140625" style="2" customWidth="1"/>
    <col min="4" max="4" width="28.5703125" style="2" customWidth="1"/>
    <col min="5" max="5" width="14" style="5" customWidth="1"/>
    <col min="6" max="20" width="9.5703125" style="2" customWidth="1"/>
    <col min="21" max="16384" width="9.140625" style="2"/>
  </cols>
  <sheetData>
    <row r="1" spans="1:20">
      <c r="B1" s="1"/>
      <c r="C1" s="1"/>
      <c r="D1" s="1"/>
      <c r="E1" s="36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>
      <c r="B2" s="1"/>
      <c r="C2" s="1"/>
      <c r="D2" s="1"/>
      <c r="E2" s="403" t="s">
        <v>365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7" t="str">
        <f>+MENU!$C$5</f>
        <v>DATA BASE DE CÁLCULO: MARÇO 2020</v>
      </c>
    </row>
    <row r="7" spans="1:20" ht="15.75">
      <c r="B7" s="381" t="str">
        <f>+MENU!$C$15</f>
        <v>2. - COEFICIENTES DE CONSUMOS E PARÂMETROS ADOTADOS</v>
      </c>
    </row>
    <row r="9" spans="1:20" ht="15.75">
      <c r="C9" s="381" t="str">
        <f>+MENU!$C$16</f>
        <v>2.1. - COEFICIENTES DE CONSUMO DE COMBUSTÍVEIS</v>
      </c>
    </row>
    <row r="10" spans="1:20">
      <c r="C10" s="4"/>
    </row>
    <row r="11" spans="1:20" ht="15.75">
      <c r="C11" s="381" t="str">
        <f>+MENU!$C$17</f>
        <v>2.1.1. - COEFICIENTES DE CONSUMO DE ÓLEO DIESEL</v>
      </c>
    </row>
    <row r="12" spans="1:20">
      <c r="C12" s="4"/>
    </row>
    <row r="13" spans="1:20" ht="18" customHeight="1">
      <c r="C13" s="694" t="s">
        <v>43</v>
      </c>
      <c r="D13" s="695"/>
      <c r="E13" s="14" t="s">
        <v>6</v>
      </c>
      <c r="F13" s="572">
        <v>1</v>
      </c>
      <c r="G13" s="572">
        <f t="shared" ref="G13:T13" si="0">+F13+1</f>
        <v>2</v>
      </c>
      <c r="H13" s="572">
        <f t="shared" si="0"/>
        <v>3</v>
      </c>
      <c r="I13" s="572">
        <f t="shared" si="0"/>
        <v>4</v>
      </c>
      <c r="J13" s="572">
        <f t="shared" si="0"/>
        <v>5</v>
      </c>
      <c r="K13" s="572">
        <f t="shared" si="0"/>
        <v>6</v>
      </c>
      <c r="L13" s="572">
        <f t="shared" si="0"/>
        <v>7</v>
      </c>
      <c r="M13" s="572">
        <f t="shared" si="0"/>
        <v>8</v>
      </c>
      <c r="N13" s="572">
        <f t="shared" si="0"/>
        <v>9</v>
      </c>
      <c r="O13" s="572">
        <f t="shared" si="0"/>
        <v>10</v>
      </c>
      <c r="P13" s="572">
        <f t="shared" si="0"/>
        <v>11</v>
      </c>
      <c r="Q13" s="572">
        <f t="shared" si="0"/>
        <v>12</v>
      </c>
      <c r="R13" s="572">
        <f t="shared" si="0"/>
        <v>13</v>
      </c>
      <c r="S13" s="572">
        <f t="shared" si="0"/>
        <v>14</v>
      </c>
      <c r="T13" s="573">
        <f t="shared" si="0"/>
        <v>15</v>
      </c>
    </row>
    <row r="14" spans="1:20">
      <c r="A14" s="2">
        <v>1</v>
      </c>
      <c r="D14" s="15" t="str">
        <f>VLOOKUP(A14,TIPOLOGIA!$D$10:$E$12,2,0)</f>
        <v>MICROÔNIBUS</v>
      </c>
      <c r="E14" s="16" t="s">
        <v>41</v>
      </c>
      <c r="F14" s="623">
        <v>0.2505</v>
      </c>
      <c r="G14" s="88">
        <f>+F14</f>
        <v>0.2505</v>
      </c>
      <c r="H14" s="88">
        <f t="shared" ref="H14:S14" si="1">+G14</f>
        <v>0.2505</v>
      </c>
      <c r="I14" s="88">
        <f t="shared" si="1"/>
        <v>0.2505</v>
      </c>
      <c r="J14" s="88">
        <f t="shared" si="1"/>
        <v>0.2505</v>
      </c>
      <c r="K14" s="88">
        <f t="shared" si="1"/>
        <v>0.2505</v>
      </c>
      <c r="L14" s="88">
        <f t="shared" si="1"/>
        <v>0.2505</v>
      </c>
      <c r="M14" s="88">
        <f t="shared" si="1"/>
        <v>0.2505</v>
      </c>
      <c r="N14" s="88">
        <f t="shared" si="1"/>
        <v>0.2505</v>
      </c>
      <c r="O14" s="88">
        <f t="shared" si="1"/>
        <v>0.2505</v>
      </c>
      <c r="P14" s="88">
        <f t="shared" si="1"/>
        <v>0.2505</v>
      </c>
      <c r="Q14" s="88">
        <f t="shared" si="1"/>
        <v>0.2505</v>
      </c>
      <c r="R14" s="88">
        <f t="shared" si="1"/>
        <v>0.2505</v>
      </c>
      <c r="S14" s="88">
        <f t="shared" si="1"/>
        <v>0.2505</v>
      </c>
      <c r="T14" s="89">
        <f>+S14</f>
        <v>0.2505</v>
      </c>
    </row>
    <row r="15" spans="1:20">
      <c r="A15" s="2">
        <v>2</v>
      </c>
      <c r="D15" s="17" t="str">
        <f>VLOOKUP(A15,TIPOLOGIA!$D$10:$E$12,2,0)</f>
        <v>CONVENCIONAL</v>
      </c>
      <c r="E15" s="18" t="str">
        <f>+E14</f>
        <v>(ℓ/km.)</v>
      </c>
      <c r="F15" s="623">
        <v>0.41020000000000001</v>
      </c>
      <c r="G15" s="90">
        <f>+F15</f>
        <v>0.41020000000000001</v>
      </c>
      <c r="H15" s="90">
        <f t="shared" ref="H15:S15" si="2">+G15</f>
        <v>0.41020000000000001</v>
      </c>
      <c r="I15" s="90">
        <f t="shared" si="2"/>
        <v>0.41020000000000001</v>
      </c>
      <c r="J15" s="90">
        <f t="shared" si="2"/>
        <v>0.41020000000000001</v>
      </c>
      <c r="K15" s="90">
        <f t="shared" si="2"/>
        <v>0.41020000000000001</v>
      </c>
      <c r="L15" s="90">
        <f t="shared" si="2"/>
        <v>0.41020000000000001</v>
      </c>
      <c r="M15" s="90">
        <f t="shared" si="2"/>
        <v>0.41020000000000001</v>
      </c>
      <c r="N15" s="90">
        <f t="shared" si="2"/>
        <v>0.41020000000000001</v>
      </c>
      <c r="O15" s="90">
        <f t="shared" si="2"/>
        <v>0.41020000000000001</v>
      </c>
      <c r="P15" s="90">
        <f t="shared" si="2"/>
        <v>0.41020000000000001</v>
      </c>
      <c r="Q15" s="90">
        <f t="shared" si="2"/>
        <v>0.41020000000000001</v>
      </c>
      <c r="R15" s="90">
        <f t="shared" si="2"/>
        <v>0.41020000000000001</v>
      </c>
      <c r="S15" s="90">
        <f t="shared" si="2"/>
        <v>0.41020000000000001</v>
      </c>
      <c r="T15" s="91">
        <f>+S15</f>
        <v>0.41020000000000001</v>
      </c>
    </row>
    <row r="16" spans="1:20">
      <c r="A16" s="2">
        <v>3</v>
      </c>
      <c r="D16" s="24" t="str">
        <f>VLOOKUP(A16,TIPOLOGIA!$D$10:$E$12,2,0)</f>
        <v>-</v>
      </c>
      <c r="E16" s="25" t="str">
        <f>+E15</f>
        <v>(ℓ/km.)</v>
      </c>
      <c r="F16" s="623">
        <v>0</v>
      </c>
      <c r="G16" s="92">
        <f>+F16</f>
        <v>0</v>
      </c>
      <c r="H16" s="92">
        <f t="shared" ref="H16:S16" si="3">+G16</f>
        <v>0</v>
      </c>
      <c r="I16" s="92">
        <f t="shared" si="3"/>
        <v>0</v>
      </c>
      <c r="J16" s="92">
        <f t="shared" si="3"/>
        <v>0</v>
      </c>
      <c r="K16" s="92">
        <f t="shared" si="3"/>
        <v>0</v>
      </c>
      <c r="L16" s="92">
        <f t="shared" si="3"/>
        <v>0</v>
      </c>
      <c r="M16" s="92">
        <f t="shared" si="3"/>
        <v>0</v>
      </c>
      <c r="N16" s="92">
        <f t="shared" si="3"/>
        <v>0</v>
      </c>
      <c r="O16" s="92">
        <f t="shared" si="3"/>
        <v>0</v>
      </c>
      <c r="P16" s="92">
        <f t="shared" si="3"/>
        <v>0</v>
      </c>
      <c r="Q16" s="92">
        <f t="shared" si="3"/>
        <v>0</v>
      </c>
      <c r="R16" s="92">
        <f t="shared" si="3"/>
        <v>0</v>
      </c>
      <c r="S16" s="92">
        <f t="shared" si="3"/>
        <v>0</v>
      </c>
      <c r="T16" s="93">
        <f>+S16</f>
        <v>0</v>
      </c>
    </row>
    <row r="17" spans="1:20"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</row>
    <row r="18" spans="1:20" ht="15.75">
      <c r="C18" s="381" t="str">
        <f>+MENU!$C$18</f>
        <v>2.1.2. - COEFICIENTES DE CONSUMO DE ARLA32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</row>
    <row r="19" spans="1:20"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</row>
    <row r="20" spans="1:20" ht="18" customHeight="1">
      <c r="C20" s="694" t="s">
        <v>44</v>
      </c>
      <c r="D20" s="695"/>
      <c r="E20" s="14" t="s">
        <v>6</v>
      </c>
      <c r="F20" s="572">
        <v>1</v>
      </c>
      <c r="G20" s="572">
        <f t="shared" ref="G20:T20" si="4">+F20+1</f>
        <v>2</v>
      </c>
      <c r="H20" s="572">
        <f t="shared" si="4"/>
        <v>3</v>
      </c>
      <c r="I20" s="572">
        <f t="shared" si="4"/>
        <v>4</v>
      </c>
      <c r="J20" s="572">
        <f t="shared" si="4"/>
        <v>5</v>
      </c>
      <c r="K20" s="572">
        <f t="shared" si="4"/>
        <v>6</v>
      </c>
      <c r="L20" s="572">
        <f t="shared" si="4"/>
        <v>7</v>
      </c>
      <c r="M20" s="572">
        <f t="shared" si="4"/>
        <v>8</v>
      </c>
      <c r="N20" s="572">
        <f t="shared" si="4"/>
        <v>9</v>
      </c>
      <c r="O20" s="572">
        <f t="shared" si="4"/>
        <v>10</v>
      </c>
      <c r="P20" s="572">
        <f t="shared" si="4"/>
        <v>11</v>
      </c>
      <c r="Q20" s="572">
        <f t="shared" si="4"/>
        <v>12</v>
      </c>
      <c r="R20" s="572">
        <f t="shared" si="4"/>
        <v>13</v>
      </c>
      <c r="S20" s="572">
        <f t="shared" si="4"/>
        <v>14</v>
      </c>
      <c r="T20" s="573">
        <f t="shared" si="4"/>
        <v>15</v>
      </c>
    </row>
    <row r="21" spans="1:20" ht="47.25" customHeight="1">
      <c r="A21" s="2">
        <v>1</v>
      </c>
      <c r="D21" s="23" t="s">
        <v>42</v>
      </c>
      <c r="E21" s="16" t="s">
        <v>54</v>
      </c>
      <c r="F21" s="623">
        <v>3.2000000000000001E-2</v>
      </c>
      <c r="G21" s="88">
        <f>+F21</f>
        <v>3.2000000000000001E-2</v>
      </c>
      <c r="H21" s="88">
        <f t="shared" ref="H21:S21" si="5">+G21</f>
        <v>3.2000000000000001E-2</v>
      </c>
      <c r="I21" s="88">
        <f t="shared" si="5"/>
        <v>3.2000000000000001E-2</v>
      </c>
      <c r="J21" s="88">
        <f t="shared" si="5"/>
        <v>3.2000000000000001E-2</v>
      </c>
      <c r="K21" s="88">
        <f t="shared" si="5"/>
        <v>3.2000000000000001E-2</v>
      </c>
      <c r="L21" s="88">
        <f t="shared" si="5"/>
        <v>3.2000000000000001E-2</v>
      </c>
      <c r="M21" s="88">
        <f t="shared" si="5"/>
        <v>3.2000000000000001E-2</v>
      </c>
      <c r="N21" s="88">
        <f t="shared" si="5"/>
        <v>3.2000000000000001E-2</v>
      </c>
      <c r="O21" s="88">
        <f t="shared" si="5"/>
        <v>3.2000000000000001E-2</v>
      </c>
      <c r="P21" s="88">
        <f t="shared" si="5"/>
        <v>3.2000000000000001E-2</v>
      </c>
      <c r="Q21" s="88">
        <f t="shared" si="5"/>
        <v>3.2000000000000001E-2</v>
      </c>
      <c r="R21" s="88">
        <f t="shared" si="5"/>
        <v>3.2000000000000001E-2</v>
      </c>
      <c r="S21" s="88">
        <f t="shared" si="5"/>
        <v>3.2000000000000001E-2</v>
      </c>
      <c r="T21" s="89">
        <f>+S21</f>
        <v>3.2000000000000001E-2</v>
      </c>
    </row>
    <row r="22" spans="1:20"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</row>
    <row r="24" spans="1:20" ht="15.75">
      <c r="C24" s="381" t="str">
        <f>+MENU!$C$19</f>
        <v>2.2. - COEFICIENTE DE CONSUMO DE LUBRIFICANTES</v>
      </c>
    </row>
    <row r="25" spans="1:20">
      <c r="C25" s="4"/>
    </row>
    <row r="26" spans="1:20" ht="18" customHeight="1">
      <c r="C26" s="694" t="s">
        <v>28</v>
      </c>
      <c r="D26" s="695"/>
      <c r="E26" s="14" t="s">
        <v>6</v>
      </c>
      <c r="F26" s="572">
        <v>1</v>
      </c>
      <c r="G26" s="572">
        <f t="shared" ref="G26:T26" si="6">+F26+1</f>
        <v>2</v>
      </c>
      <c r="H26" s="572">
        <f t="shared" si="6"/>
        <v>3</v>
      </c>
      <c r="I26" s="572">
        <f t="shared" si="6"/>
        <v>4</v>
      </c>
      <c r="J26" s="572">
        <f t="shared" si="6"/>
        <v>5</v>
      </c>
      <c r="K26" s="572">
        <f t="shared" si="6"/>
        <v>6</v>
      </c>
      <c r="L26" s="572">
        <f t="shared" si="6"/>
        <v>7</v>
      </c>
      <c r="M26" s="572">
        <f t="shared" si="6"/>
        <v>8</v>
      </c>
      <c r="N26" s="572">
        <f t="shared" si="6"/>
        <v>9</v>
      </c>
      <c r="O26" s="572">
        <f t="shared" si="6"/>
        <v>10</v>
      </c>
      <c r="P26" s="572">
        <f t="shared" si="6"/>
        <v>11</v>
      </c>
      <c r="Q26" s="572">
        <f t="shared" si="6"/>
        <v>12</v>
      </c>
      <c r="R26" s="572">
        <f t="shared" si="6"/>
        <v>13</v>
      </c>
      <c r="S26" s="572">
        <f t="shared" si="6"/>
        <v>14</v>
      </c>
      <c r="T26" s="573">
        <f t="shared" si="6"/>
        <v>15</v>
      </c>
    </row>
    <row r="27" spans="1:20">
      <c r="D27" s="239" t="s">
        <v>26</v>
      </c>
      <c r="E27" s="443" t="s">
        <v>54</v>
      </c>
      <c r="F27" s="624">
        <v>4.4999999999999998E-2</v>
      </c>
      <c r="G27" s="444">
        <f>+F27</f>
        <v>4.4999999999999998E-2</v>
      </c>
      <c r="H27" s="444">
        <f t="shared" ref="H27:S27" si="7">+G27</f>
        <v>4.4999999999999998E-2</v>
      </c>
      <c r="I27" s="444">
        <f t="shared" si="7"/>
        <v>4.4999999999999998E-2</v>
      </c>
      <c r="J27" s="444">
        <f t="shared" si="7"/>
        <v>4.4999999999999998E-2</v>
      </c>
      <c r="K27" s="444">
        <f t="shared" si="7"/>
        <v>4.4999999999999998E-2</v>
      </c>
      <c r="L27" s="444">
        <f t="shared" si="7"/>
        <v>4.4999999999999998E-2</v>
      </c>
      <c r="M27" s="444">
        <f t="shared" si="7"/>
        <v>4.4999999999999998E-2</v>
      </c>
      <c r="N27" s="444">
        <f t="shared" si="7"/>
        <v>4.4999999999999998E-2</v>
      </c>
      <c r="O27" s="444">
        <f t="shared" si="7"/>
        <v>4.4999999999999998E-2</v>
      </c>
      <c r="P27" s="444">
        <f t="shared" si="7"/>
        <v>4.4999999999999998E-2</v>
      </c>
      <c r="Q27" s="444">
        <f t="shared" si="7"/>
        <v>4.4999999999999998E-2</v>
      </c>
      <c r="R27" s="444">
        <f t="shared" si="7"/>
        <v>4.4999999999999998E-2</v>
      </c>
      <c r="S27" s="444">
        <f t="shared" si="7"/>
        <v>4.4999999999999998E-2</v>
      </c>
      <c r="T27" s="445">
        <f>S27</f>
        <v>4.4999999999999998E-2</v>
      </c>
    </row>
    <row r="30" spans="1:20" ht="15.75">
      <c r="C30" s="381" t="str">
        <f>+MENU!$C$20</f>
        <v>2.3. - PARÂMETROS DE MATERIAL DE RODAGEM</v>
      </c>
    </row>
    <row r="32" spans="1:20" ht="15.75">
      <c r="C32" s="381" t="str">
        <f>+MENU!$C$21</f>
        <v>2.3.1. - VIDA ÚTIL DE PNEU</v>
      </c>
    </row>
    <row r="33" spans="1:20">
      <c r="C33" s="4"/>
    </row>
    <row r="34" spans="1:20" ht="18" customHeight="1">
      <c r="C34" s="694" t="s">
        <v>445</v>
      </c>
      <c r="D34" s="695"/>
      <c r="E34" s="14" t="s">
        <v>6</v>
      </c>
      <c r="F34" s="572">
        <v>1</v>
      </c>
      <c r="G34" s="572">
        <f t="shared" ref="G34:T34" si="8">+F34+1</f>
        <v>2</v>
      </c>
      <c r="H34" s="572">
        <f t="shared" si="8"/>
        <v>3</v>
      </c>
      <c r="I34" s="572">
        <f t="shared" si="8"/>
        <v>4</v>
      </c>
      <c r="J34" s="572">
        <f t="shared" si="8"/>
        <v>5</v>
      </c>
      <c r="K34" s="572">
        <f t="shared" si="8"/>
        <v>6</v>
      </c>
      <c r="L34" s="572">
        <f t="shared" si="8"/>
        <v>7</v>
      </c>
      <c r="M34" s="572">
        <f t="shared" si="8"/>
        <v>8</v>
      </c>
      <c r="N34" s="572">
        <f t="shared" si="8"/>
        <v>9</v>
      </c>
      <c r="O34" s="572">
        <f t="shared" si="8"/>
        <v>10</v>
      </c>
      <c r="P34" s="572">
        <f t="shared" si="8"/>
        <v>11</v>
      </c>
      <c r="Q34" s="572">
        <f t="shared" si="8"/>
        <v>12</v>
      </c>
      <c r="R34" s="572">
        <f t="shared" si="8"/>
        <v>13</v>
      </c>
      <c r="S34" s="572">
        <f t="shared" si="8"/>
        <v>14</v>
      </c>
      <c r="T34" s="573">
        <f t="shared" si="8"/>
        <v>15</v>
      </c>
    </row>
    <row r="35" spans="1:20">
      <c r="A35" s="2">
        <v>1</v>
      </c>
      <c r="D35" s="15" t="str">
        <f>VLOOKUP(A35,TIPOLOGIA!$D$10:$E$12,2,0)</f>
        <v>MICROÔNIBUS</v>
      </c>
      <c r="E35" s="16" t="s">
        <v>386</v>
      </c>
      <c r="F35" s="625">
        <v>105000</v>
      </c>
      <c r="G35" s="41">
        <f>F35</f>
        <v>105000</v>
      </c>
      <c r="H35" s="41">
        <f t="shared" ref="H35:S37" si="9">G35</f>
        <v>105000</v>
      </c>
      <c r="I35" s="41">
        <f t="shared" si="9"/>
        <v>105000</v>
      </c>
      <c r="J35" s="41">
        <f t="shared" si="9"/>
        <v>105000</v>
      </c>
      <c r="K35" s="41">
        <f t="shared" si="9"/>
        <v>105000</v>
      </c>
      <c r="L35" s="41">
        <f t="shared" si="9"/>
        <v>105000</v>
      </c>
      <c r="M35" s="41">
        <f t="shared" si="9"/>
        <v>105000</v>
      </c>
      <c r="N35" s="41">
        <f t="shared" si="9"/>
        <v>105000</v>
      </c>
      <c r="O35" s="41">
        <f t="shared" si="9"/>
        <v>105000</v>
      </c>
      <c r="P35" s="41">
        <f t="shared" si="9"/>
        <v>105000</v>
      </c>
      <c r="Q35" s="41">
        <f t="shared" si="9"/>
        <v>105000</v>
      </c>
      <c r="R35" s="41">
        <f t="shared" si="9"/>
        <v>105000</v>
      </c>
      <c r="S35" s="41">
        <f t="shared" si="9"/>
        <v>105000</v>
      </c>
      <c r="T35" s="42">
        <f>S35</f>
        <v>105000</v>
      </c>
    </row>
    <row r="36" spans="1:20">
      <c r="A36" s="2">
        <v>2</v>
      </c>
      <c r="D36" s="17" t="str">
        <f>VLOOKUP(A36,TIPOLOGIA!$D$10:$E$12,2,0)</f>
        <v>CONVENCIONAL</v>
      </c>
      <c r="E36" s="18" t="str">
        <f>+E35</f>
        <v>(km/Mês/pneu)</v>
      </c>
      <c r="F36" s="626">
        <v>105000</v>
      </c>
      <c r="G36" s="66">
        <f>F36</f>
        <v>105000</v>
      </c>
      <c r="H36" s="66">
        <f t="shared" si="9"/>
        <v>105000</v>
      </c>
      <c r="I36" s="66">
        <f t="shared" si="9"/>
        <v>105000</v>
      </c>
      <c r="J36" s="66">
        <f t="shared" si="9"/>
        <v>105000</v>
      </c>
      <c r="K36" s="66">
        <f t="shared" si="9"/>
        <v>105000</v>
      </c>
      <c r="L36" s="66">
        <f t="shared" si="9"/>
        <v>105000</v>
      </c>
      <c r="M36" s="66">
        <f t="shared" si="9"/>
        <v>105000</v>
      </c>
      <c r="N36" s="66">
        <f t="shared" si="9"/>
        <v>105000</v>
      </c>
      <c r="O36" s="66">
        <f t="shared" si="9"/>
        <v>105000</v>
      </c>
      <c r="P36" s="66">
        <f t="shared" si="9"/>
        <v>105000</v>
      </c>
      <c r="Q36" s="66">
        <f t="shared" si="9"/>
        <v>105000</v>
      </c>
      <c r="R36" s="66">
        <f t="shared" si="9"/>
        <v>105000</v>
      </c>
      <c r="S36" s="66">
        <f t="shared" si="9"/>
        <v>105000</v>
      </c>
      <c r="T36" s="67">
        <f>S36</f>
        <v>105000</v>
      </c>
    </row>
    <row r="37" spans="1:20">
      <c r="A37" s="2">
        <v>3</v>
      </c>
      <c r="D37" s="24" t="str">
        <f>VLOOKUP(A37,TIPOLOGIA!$D$10:$E$12,2,0)</f>
        <v>-</v>
      </c>
      <c r="E37" s="25" t="str">
        <f>+E36</f>
        <v>(km/Mês/pneu)</v>
      </c>
      <c r="F37" s="627">
        <v>0</v>
      </c>
      <c r="G37" s="43">
        <f>F37</f>
        <v>0</v>
      </c>
      <c r="H37" s="43">
        <f t="shared" si="9"/>
        <v>0</v>
      </c>
      <c r="I37" s="43">
        <f t="shared" si="9"/>
        <v>0</v>
      </c>
      <c r="J37" s="43">
        <f t="shared" si="9"/>
        <v>0</v>
      </c>
      <c r="K37" s="43">
        <f t="shared" si="9"/>
        <v>0</v>
      </c>
      <c r="L37" s="43">
        <f t="shared" si="9"/>
        <v>0</v>
      </c>
      <c r="M37" s="43">
        <f t="shared" si="9"/>
        <v>0</v>
      </c>
      <c r="N37" s="43">
        <f t="shared" si="9"/>
        <v>0</v>
      </c>
      <c r="O37" s="43">
        <f t="shared" si="9"/>
        <v>0</v>
      </c>
      <c r="P37" s="43">
        <f t="shared" si="9"/>
        <v>0</v>
      </c>
      <c r="Q37" s="43">
        <f t="shared" si="9"/>
        <v>0</v>
      </c>
      <c r="R37" s="43">
        <f t="shared" si="9"/>
        <v>0</v>
      </c>
      <c r="S37" s="43">
        <f t="shared" si="9"/>
        <v>0</v>
      </c>
      <c r="T37" s="44">
        <f>S37</f>
        <v>0</v>
      </c>
    </row>
    <row r="39" spans="1:20" ht="15.75">
      <c r="C39" s="381" t="str">
        <f>+MENU!$C$22</f>
        <v>2.3.2. - NÚMERO DE PNEU POR JOGOS</v>
      </c>
    </row>
    <row r="40" spans="1:20">
      <c r="C40" s="4"/>
    </row>
    <row r="41" spans="1:20" ht="18" customHeight="1">
      <c r="C41" s="694" t="s">
        <v>446</v>
      </c>
      <c r="D41" s="695"/>
      <c r="E41" s="14" t="s">
        <v>6</v>
      </c>
      <c r="F41" s="572">
        <v>1</v>
      </c>
      <c r="G41" s="572">
        <f t="shared" ref="G41:T41" si="10">+F41+1</f>
        <v>2</v>
      </c>
      <c r="H41" s="572">
        <f t="shared" si="10"/>
        <v>3</v>
      </c>
      <c r="I41" s="572">
        <f t="shared" si="10"/>
        <v>4</v>
      </c>
      <c r="J41" s="572">
        <f t="shared" si="10"/>
        <v>5</v>
      </c>
      <c r="K41" s="572">
        <f t="shared" si="10"/>
        <v>6</v>
      </c>
      <c r="L41" s="572">
        <f t="shared" si="10"/>
        <v>7</v>
      </c>
      <c r="M41" s="572">
        <f t="shared" si="10"/>
        <v>8</v>
      </c>
      <c r="N41" s="572">
        <f t="shared" si="10"/>
        <v>9</v>
      </c>
      <c r="O41" s="572">
        <f t="shared" si="10"/>
        <v>10</v>
      </c>
      <c r="P41" s="572">
        <f t="shared" si="10"/>
        <v>11</v>
      </c>
      <c r="Q41" s="572">
        <f t="shared" si="10"/>
        <v>12</v>
      </c>
      <c r="R41" s="572">
        <f t="shared" si="10"/>
        <v>13</v>
      </c>
      <c r="S41" s="572">
        <f t="shared" si="10"/>
        <v>14</v>
      </c>
      <c r="T41" s="573">
        <f t="shared" si="10"/>
        <v>15</v>
      </c>
    </row>
    <row r="42" spans="1:20">
      <c r="A42" s="2">
        <v>1</v>
      </c>
      <c r="D42" s="19" t="str">
        <f>VLOOKUP(A42,TIPOLOGIA!$D$10:$E$12,2,0)</f>
        <v>MICROÔNIBUS</v>
      </c>
      <c r="E42" s="16" t="s">
        <v>45</v>
      </c>
      <c r="F42" s="631">
        <v>4</v>
      </c>
      <c r="G42" s="74">
        <f t="shared" ref="G42:T42" si="11">F42</f>
        <v>4</v>
      </c>
      <c r="H42" s="74">
        <f t="shared" si="11"/>
        <v>4</v>
      </c>
      <c r="I42" s="74">
        <f t="shared" si="11"/>
        <v>4</v>
      </c>
      <c r="J42" s="74">
        <f t="shared" si="11"/>
        <v>4</v>
      </c>
      <c r="K42" s="74">
        <f t="shared" si="11"/>
        <v>4</v>
      </c>
      <c r="L42" s="74">
        <f t="shared" si="11"/>
        <v>4</v>
      </c>
      <c r="M42" s="74">
        <f t="shared" si="11"/>
        <v>4</v>
      </c>
      <c r="N42" s="74">
        <f t="shared" si="11"/>
        <v>4</v>
      </c>
      <c r="O42" s="74">
        <f t="shared" si="11"/>
        <v>4</v>
      </c>
      <c r="P42" s="74">
        <f t="shared" si="11"/>
        <v>4</v>
      </c>
      <c r="Q42" s="74">
        <f t="shared" si="11"/>
        <v>4</v>
      </c>
      <c r="R42" s="74">
        <f t="shared" si="11"/>
        <v>4</v>
      </c>
      <c r="S42" s="74">
        <f t="shared" si="11"/>
        <v>4</v>
      </c>
      <c r="T42" s="75">
        <f t="shared" si="11"/>
        <v>4</v>
      </c>
    </row>
    <row r="43" spans="1:20">
      <c r="A43" s="2">
        <v>2</v>
      </c>
      <c r="D43" s="17" t="str">
        <f>VLOOKUP(A43,TIPOLOGIA!$D$10:$E$12,2,0)</f>
        <v>CONVENCIONAL</v>
      </c>
      <c r="E43" s="16" t="str">
        <f>+E42</f>
        <v>(un./jogos)</v>
      </c>
      <c r="F43" s="632">
        <v>6</v>
      </c>
      <c r="G43" s="76">
        <f t="shared" ref="G43:T43" si="12">F43</f>
        <v>6</v>
      </c>
      <c r="H43" s="76">
        <f t="shared" si="12"/>
        <v>6</v>
      </c>
      <c r="I43" s="76">
        <f t="shared" si="12"/>
        <v>6</v>
      </c>
      <c r="J43" s="76">
        <f t="shared" si="12"/>
        <v>6</v>
      </c>
      <c r="K43" s="76">
        <f t="shared" si="12"/>
        <v>6</v>
      </c>
      <c r="L43" s="76">
        <f t="shared" si="12"/>
        <v>6</v>
      </c>
      <c r="M43" s="76">
        <f t="shared" si="12"/>
        <v>6</v>
      </c>
      <c r="N43" s="76">
        <f t="shared" si="12"/>
        <v>6</v>
      </c>
      <c r="O43" s="76">
        <f t="shared" si="12"/>
        <v>6</v>
      </c>
      <c r="P43" s="76">
        <f t="shared" si="12"/>
        <v>6</v>
      </c>
      <c r="Q43" s="76">
        <f t="shared" si="12"/>
        <v>6</v>
      </c>
      <c r="R43" s="76">
        <f t="shared" si="12"/>
        <v>6</v>
      </c>
      <c r="S43" s="76">
        <f t="shared" si="12"/>
        <v>6</v>
      </c>
      <c r="T43" s="77">
        <f t="shared" si="12"/>
        <v>6</v>
      </c>
    </row>
    <row r="44" spans="1:20">
      <c r="A44" s="2">
        <v>3</v>
      </c>
      <c r="D44" s="24" t="str">
        <f>VLOOKUP(A44,TIPOLOGIA!$D$10:$E$12,2,0)</f>
        <v>-</v>
      </c>
      <c r="E44" s="16" t="str">
        <f>+E43</f>
        <v>(un./jogos)</v>
      </c>
      <c r="F44" s="633">
        <v>0</v>
      </c>
      <c r="G44" s="78">
        <f t="shared" ref="G44:T44" si="13">F44</f>
        <v>0</v>
      </c>
      <c r="H44" s="78">
        <f t="shared" si="13"/>
        <v>0</v>
      </c>
      <c r="I44" s="78">
        <f t="shared" si="13"/>
        <v>0</v>
      </c>
      <c r="J44" s="78">
        <f t="shared" si="13"/>
        <v>0</v>
      </c>
      <c r="K44" s="78">
        <f t="shared" si="13"/>
        <v>0</v>
      </c>
      <c r="L44" s="78">
        <f t="shared" si="13"/>
        <v>0</v>
      </c>
      <c r="M44" s="78">
        <f t="shared" si="13"/>
        <v>0</v>
      </c>
      <c r="N44" s="78">
        <f t="shared" si="13"/>
        <v>0</v>
      </c>
      <c r="O44" s="78">
        <f t="shared" si="13"/>
        <v>0</v>
      </c>
      <c r="P44" s="78">
        <f t="shared" si="13"/>
        <v>0</v>
      </c>
      <c r="Q44" s="78">
        <f t="shared" si="13"/>
        <v>0</v>
      </c>
      <c r="R44" s="78">
        <f t="shared" si="13"/>
        <v>0</v>
      </c>
      <c r="S44" s="78">
        <f t="shared" si="13"/>
        <v>0</v>
      </c>
      <c r="T44" s="79">
        <f t="shared" si="13"/>
        <v>0</v>
      </c>
    </row>
    <row r="45" spans="1:20">
      <c r="D45" s="1"/>
      <c r="E45" s="36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</row>
    <row r="46" spans="1:20" ht="15.75">
      <c r="C46" s="381" t="str">
        <f>+MENU!$C$23</f>
        <v>2.3.3. - NÚMERO DE RECAPAGEM</v>
      </c>
    </row>
    <row r="48" spans="1:20" ht="18" customHeight="1">
      <c r="C48" s="694" t="s">
        <v>447</v>
      </c>
      <c r="D48" s="695"/>
      <c r="E48" s="14" t="s">
        <v>6</v>
      </c>
      <c r="F48" s="572">
        <v>1</v>
      </c>
      <c r="G48" s="572">
        <f t="shared" ref="G48:T48" si="14">+F48+1</f>
        <v>2</v>
      </c>
      <c r="H48" s="572">
        <f t="shared" si="14"/>
        <v>3</v>
      </c>
      <c r="I48" s="572">
        <f t="shared" si="14"/>
        <v>4</v>
      </c>
      <c r="J48" s="572">
        <f t="shared" si="14"/>
        <v>5</v>
      </c>
      <c r="K48" s="572">
        <f t="shared" si="14"/>
        <v>6</v>
      </c>
      <c r="L48" s="572">
        <f t="shared" si="14"/>
        <v>7</v>
      </c>
      <c r="M48" s="572">
        <f t="shared" si="14"/>
        <v>8</v>
      </c>
      <c r="N48" s="572">
        <f t="shared" si="14"/>
        <v>9</v>
      </c>
      <c r="O48" s="572">
        <f t="shared" si="14"/>
        <v>10</v>
      </c>
      <c r="P48" s="572">
        <f t="shared" si="14"/>
        <v>11</v>
      </c>
      <c r="Q48" s="572">
        <f t="shared" si="14"/>
        <v>12</v>
      </c>
      <c r="R48" s="572">
        <f t="shared" si="14"/>
        <v>13</v>
      </c>
      <c r="S48" s="572">
        <f t="shared" si="14"/>
        <v>14</v>
      </c>
      <c r="T48" s="573">
        <f t="shared" si="14"/>
        <v>15</v>
      </c>
    </row>
    <row r="49" spans="1:23">
      <c r="A49" s="2">
        <v>1</v>
      </c>
      <c r="D49" s="19" t="str">
        <f>VLOOKUP(A49,TIPOLOGIA!$D$10:$E$12,2,0)</f>
        <v>MICROÔNIBUS</v>
      </c>
      <c r="E49" s="16" t="s">
        <v>45</v>
      </c>
      <c r="F49" s="628">
        <v>1</v>
      </c>
      <c r="G49" s="57">
        <f>F49</f>
        <v>1</v>
      </c>
      <c r="H49" s="57">
        <f t="shared" ref="H49:S51" si="15">G49</f>
        <v>1</v>
      </c>
      <c r="I49" s="57">
        <f t="shared" si="15"/>
        <v>1</v>
      </c>
      <c r="J49" s="57">
        <f t="shared" si="15"/>
        <v>1</v>
      </c>
      <c r="K49" s="57">
        <f t="shared" si="15"/>
        <v>1</v>
      </c>
      <c r="L49" s="57">
        <f t="shared" si="15"/>
        <v>1</v>
      </c>
      <c r="M49" s="57">
        <f t="shared" si="15"/>
        <v>1</v>
      </c>
      <c r="N49" s="57">
        <f t="shared" si="15"/>
        <v>1</v>
      </c>
      <c r="O49" s="57">
        <f t="shared" si="15"/>
        <v>1</v>
      </c>
      <c r="P49" s="57">
        <f t="shared" si="15"/>
        <v>1</v>
      </c>
      <c r="Q49" s="57">
        <f t="shared" si="15"/>
        <v>1</v>
      </c>
      <c r="R49" s="57">
        <f t="shared" si="15"/>
        <v>1</v>
      </c>
      <c r="S49" s="57">
        <f t="shared" si="15"/>
        <v>1</v>
      </c>
      <c r="T49" s="58">
        <f>S49</f>
        <v>1</v>
      </c>
    </row>
    <row r="50" spans="1:23">
      <c r="A50" s="2">
        <v>2</v>
      </c>
      <c r="D50" s="17" t="str">
        <f>VLOOKUP(A50,TIPOLOGIA!$D$10:$E$12,2,0)</f>
        <v>CONVENCIONAL</v>
      </c>
      <c r="E50" s="16" t="str">
        <f>+E49</f>
        <v>(un./jogos)</v>
      </c>
      <c r="F50" s="629">
        <v>2</v>
      </c>
      <c r="G50" s="59">
        <f>F50</f>
        <v>2</v>
      </c>
      <c r="H50" s="59">
        <f t="shared" si="15"/>
        <v>2</v>
      </c>
      <c r="I50" s="59">
        <f t="shared" si="15"/>
        <v>2</v>
      </c>
      <c r="J50" s="59">
        <f t="shared" si="15"/>
        <v>2</v>
      </c>
      <c r="K50" s="59">
        <f t="shared" si="15"/>
        <v>2</v>
      </c>
      <c r="L50" s="59">
        <f t="shared" si="15"/>
        <v>2</v>
      </c>
      <c r="M50" s="59">
        <f t="shared" si="15"/>
        <v>2</v>
      </c>
      <c r="N50" s="59">
        <f t="shared" si="15"/>
        <v>2</v>
      </c>
      <c r="O50" s="59">
        <f t="shared" si="15"/>
        <v>2</v>
      </c>
      <c r="P50" s="59">
        <f t="shared" si="15"/>
        <v>2</v>
      </c>
      <c r="Q50" s="59">
        <f t="shared" si="15"/>
        <v>2</v>
      </c>
      <c r="R50" s="59">
        <f t="shared" si="15"/>
        <v>2</v>
      </c>
      <c r="S50" s="59">
        <f t="shared" si="15"/>
        <v>2</v>
      </c>
      <c r="T50" s="60">
        <f>S50</f>
        <v>2</v>
      </c>
    </row>
    <row r="51" spans="1:23">
      <c r="A51" s="2">
        <v>3</v>
      </c>
      <c r="D51" s="24" t="str">
        <f>VLOOKUP(A51,TIPOLOGIA!$D$10:$E$12,2,0)</f>
        <v>-</v>
      </c>
      <c r="E51" s="16" t="str">
        <f>+E50</f>
        <v>(un./jogos)</v>
      </c>
      <c r="F51" s="630">
        <v>0</v>
      </c>
      <c r="G51" s="61">
        <f>F51</f>
        <v>0</v>
      </c>
      <c r="H51" s="61">
        <f t="shared" si="15"/>
        <v>0</v>
      </c>
      <c r="I51" s="61">
        <f t="shared" si="15"/>
        <v>0</v>
      </c>
      <c r="J51" s="61">
        <f t="shared" si="15"/>
        <v>0</v>
      </c>
      <c r="K51" s="61">
        <f t="shared" si="15"/>
        <v>0</v>
      </c>
      <c r="L51" s="61">
        <f t="shared" si="15"/>
        <v>0</v>
      </c>
      <c r="M51" s="61">
        <f t="shared" si="15"/>
        <v>0</v>
      </c>
      <c r="N51" s="61">
        <f t="shared" si="15"/>
        <v>0</v>
      </c>
      <c r="O51" s="61">
        <f t="shared" si="15"/>
        <v>0</v>
      </c>
      <c r="P51" s="61">
        <f t="shared" si="15"/>
        <v>0</v>
      </c>
      <c r="Q51" s="61">
        <f t="shared" si="15"/>
        <v>0</v>
      </c>
      <c r="R51" s="61">
        <f t="shared" si="15"/>
        <v>0</v>
      </c>
      <c r="S51" s="61">
        <f t="shared" si="15"/>
        <v>0</v>
      </c>
      <c r="T51" s="62">
        <f>S51</f>
        <v>0</v>
      </c>
    </row>
    <row r="54" spans="1:23" ht="15.75">
      <c r="C54" s="381" t="str">
        <f>+MENU!$C$24</f>
        <v>2.4. - COEFICIENTE PEÇAS E ACESSÓRIOS</v>
      </c>
      <c r="D54" s="387"/>
    </row>
    <row r="55" spans="1:23">
      <c r="C55" s="4"/>
    </row>
    <row r="56" spans="1:23" ht="18" customHeight="1">
      <c r="C56" s="6"/>
      <c r="D56" s="21" t="s">
        <v>183</v>
      </c>
      <c r="E56" s="14" t="s">
        <v>6</v>
      </c>
      <c r="F56" s="572">
        <v>1</v>
      </c>
      <c r="G56" s="572">
        <f t="shared" ref="G56:T56" si="16">+F56+1</f>
        <v>2</v>
      </c>
      <c r="H56" s="572">
        <f t="shared" si="16"/>
        <v>3</v>
      </c>
      <c r="I56" s="572">
        <f t="shared" si="16"/>
        <v>4</v>
      </c>
      <c r="J56" s="572">
        <f t="shared" si="16"/>
        <v>5</v>
      </c>
      <c r="K56" s="572">
        <f t="shared" si="16"/>
        <v>6</v>
      </c>
      <c r="L56" s="572">
        <f t="shared" si="16"/>
        <v>7</v>
      </c>
      <c r="M56" s="572">
        <f t="shared" si="16"/>
        <v>8</v>
      </c>
      <c r="N56" s="572">
        <f t="shared" si="16"/>
        <v>9</v>
      </c>
      <c r="O56" s="572">
        <f t="shared" si="16"/>
        <v>10</v>
      </c>
      <c r="P56" s="572">
        <f t="shared" si="16"/>
        <v>11</v>
      </c>
      <c r="Q56" s="572">
        <f t="shared" si="16"/>
        <v>12</v>
      </c>
      <c r="R56" s="572">
        <f t="shared" si="16"/>
        <v>13</v>
      </c>
      <c r="S56" s="572">
        <f t="shared" si="16"/>
        <v>14</v>
      </c>
      <c r="T56" s="573">
        <f t="shared" si="16"/>
        <v>15</v>
      </c>
    </row>
    <row r="57" spans="1:23" ht="25.5">
      <c r="D57" s="23" t="s">
        <v>522</v>
      </c>
      <c r="E57" s="16" t="s">
        <v>55</v>
      </c>
      <c r="F57" s="634">
        <f>ROUND(((4%+5%)/2)/12,4)</f>
        <v>3.8E-3</v>
      </c>
      <c r="G57" s="86">
        <f t="shared" ref="G57:T57" si="17">F57</f>
        <v>3.8E-3</v>
      </c>
      <c r="H57" s="86">
        <f t="shared" si="17"/>
        <v>3.8E-3</v>
      </c>
      <c r="I57" s="86">
        <f t="shared" si="17"/>
        <v>3.8E-3</v>
      </c>
      <c r="J57" s="86">
        <f t="shared" si="17"/>
        <v>3.8E-3</v>
      </c>
      <c r="K57" s="86">
        <f t="shared" si="17"/>
        <v>3.8E-3</v>
      </c>
      <c r="L57" s="86">
        <f t="shared" si="17"/>
        <v>3.8E-3</v>
      </c>
      <c r="M57" s="86">
        <f t="shared" si="17"/>
        <v>3.8E-3</v>
      </c>
      <c r="N57" s="86">
        <f t="shared" si="17"/>
        <v>3.8E-3</v>
      </c>
      <c r="O57" s="86">
        <f t="shared" si="17"/>
        <v>3.8E-3</v>
      </c>
      <c r="P57" s="86">
        <f t="shared" si="17"/>
        <v>3.8E-3</v>
      </c>
      <c r="Q57" s="86">
        <f t="shared" si="17"/>
        <v>3.8E-3</v>
      </c>
      <c r="R57" s="86">
        <f t="shared" si="17"/>
        <v>3.8E-3</v>
      </c>
      <c r="S57" s="86">
        <f t="shared" si="17"/>
        <v>3.8E-3</v>
      </c>
      <c r="T57" s="87">
        <f t="shared" si="17"/>
        <v>3.8E-3</v>
      </c>
      <c r="U57" s="83"/>
      <c r="V57" s="83"/>
      <c r="W57" s="83"/>
    </row>
    <row r="58" spans="1:23"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</row>
    <row r="60" spans="1:23" ht="15.75">
      <c r="C60" s="381" t="str">
        <f>+MENU!$C$25</f>
        <v>2.5. - CAPITAL INVESTIDO EM VEÍCULOS</v>
      </c>
    </row>
    <row r="62" spans="1:23" ht="15.75">
      <c r="C62" s="381" t="str">
        <f>+MENU!$C$26</f>
        <v>2.5.1. - VIDA ECONOMICAMENTE ÚTIL DE VEÍCULOS DA FROTA</v>
      </c>
    </row>
    <row r="63" spans="1:23">
      <c r="C63" s="4"/>
    </row>
    <row r="64" spans="1:23" ht="18" customHeight="1">
      <c r="C64" s="694" t="s">
        <v>449</v>
      </c>
      <c r="D64" s="695"/>
      <c r="E64" s="14" t="s">
        <v>6</v>
      </c>
      <c r="F64" s="572">
        <v>1</v>
      </c>
      <c r="G64" s="572">
        <f t="shared" ref="G64:T64" si="18">+F64+1</f>
        <v>2</v>
      </c>
      <c r="H64" s="572">
        <f t="shared" si="18"/>
        <v>3</v>
      </c>
      <c r="I64" s="572">
        <f t="shared" si="18"/>
        <v>4</v>
      </c>
      <c r="J64" s="572">
        <f t="shared" si="18"/>
        <v>5</v>
      </c>
      <c r="K64" s="572">
        <f t="shared" si="18"/>
        <v>6</v>
      </c>
      <c r="L64" s="572">
        <f t="shared" si="18"/>
        <v>7</v>
      </c>
      <c r="M64" s="572">
        <f t="shared" si="18"/>
        <v>8</v>
      </c>
      <c r="N64" s="572">
        <f t="shared" si="18"/>
        <v>9</v>
      </c>
      <c r="O64" s="572">
        <f t="shared" si="18"/>
        <v>10</v>
      </c>
      <c r="P64" s="572">
        <f t="shared" si="18"/>
        <v>11</v>
      </c>
      <c r="Q64" s="572">
        <f t="shared" si="18"/>
        <v>12</v>
      </c>
      <c r="R64" s="572">
        <f t="shared" si="18"/>
        <v>13</v>
      </c>
      <c r="S64" s="572">
        <f t="shared" si="18"/>
        <v>14</v>
      </c>
      <c r="T64" s="573">
        <f t="shared" si="18"/>
        <v>15</v>
      </c>
    </row>
    <row r="65" spans="1:21">
      <c r="A65" s="2">
        <v>1</v>
      </c>
      <c r="D65" s="19" t="str">
        <f>VLOOKUP(A65,TIPOLOGIA!$D$10:$E$12,2,0)</f>
        <v>MICROÔNIBUS</v>
      </c>
      <c r="E65" s="20" t="s">
        <v>46</v>
      </c>
      <c r="F65" s="152">
        <v>8</v>
      </c>
      <c r="G65" s="74">
        <f>F65</f>
        <v>8</v>
      </c>
      <c r="H65" s="74">
        <f t="shared" ref="H65:T65" si="19">G65</f>
        <v>8</v>
      </c>
      <c r="I65" s="74">
        <f t="shared" si="19"/>
        <v>8</v>
      </c>
      <c r="J65" s="74">
        <f t="shared" si="19"/>
        <v>8</v>
      </c>
      <c r="K65" s="74">
        <f t="shared" si="19"/>
        <v>8</v>
      </c>
      <c r="L65" s="74">
        <f t="shared" si="19"/>
        <v>8</v>
      </c>
      <c r="M65" s="74">
        <f t="shared" si="19"/>
        <v>8</v>
      </c>
      <c r="N65" s="74">
        <f t="shared" si="19"/>
        <v>8</v>
      </c>
      <c r="O65" s="74">
        <f t="shared" si="19"/>
        <v>8</v>
      </c>
      <c r="P65" s="74">
        <f t="shared" si="19"/>
        <v>8</v>
      </c>
      <c r="Q65" s="74">
        <f t="shared" si="19"/>
        <v>8</v>
      </c>
      <c r="R65" s="74">
        <f t="shared" si="19"/>
        <v>8</v>
      </c>
      <c r="S65" s="74">
        <f t="shared" si="19"/>
        <v>8</v>
      </c>
      <c r="T65" s="80">
        <f t="shared" si="19"/>
        <v>8</v>
      </c>
    </row>
    <row r="66" spans="1:21">
      <c r="A66" s="2">
        <v>2</v>
      </c>
      <c r="D66" s="19" t="str">
        <f>VLOOKUP(A66,TIPOLOGIA!$D$10:$E$12,2,0)</f>
        <v>CONVENCIONAL</v>
      </c>
      <c r="E66" s="18" t="str">
        <f>+E65</f>
        <v>(ano)</v>
      </c>
      <c r="F66" s="153">
        <v>8</v>
      </c>
      <c r="G66" s="74">
        <f t="shared" ref="G66:T67" si="20">F66</f>
        <v>8</v>
      </c>
      <c r="H66" s="74">
        <f t="shared" si="20"/>
        <v>8</v>
      </c>
      <c r="I66" s="74">
        <f t="shared" si="20"/>
        <v>8</v>
      </c>
      <c r="J66" s="74">
        <f t="shared" si="20"/>
        <v>8</v>
      </c>
      <c r="K66" s="74">
        <f t="shared" si="20"/>
        <v>8</v>
      </c>
      <c r="L66" s="74">
        <f t="shared" si="20"/>
        <v>8</v>
      </c>
      <c r="M66" s="74">
        <f t="shared" si="20"/>
        <v>8</v>
      </c>
      <c r="N66" s="74">
        <f t="shared" si="20"/>
        <v>8</v>
      </c>
      <c r="O66" s="74">
        <f t="shared" si="20"/>
        <v>8</v>
      </c>
      <c r="P66" s="74">
        <f t="shared" si="20"/>
        <v>8</v>
      </c>
      <c r="Q66" s="74">
        <f t="shared" si="20"/>
        <v>8</v>
      </c>
      <c r="R66" s="74">
        <f t="shared" si="20"/>
        <v>8</v>
      </c>
      <c r="S66" s="74">
        <f t="shared" si="20"/>
        <v>8</v>
      </c>
      <c r="T66" s="75">
        <f t="shared" si="20"/>
        <v>8</v>
      </c>
    </row>
    <row r="67" spans="1:21">
      <c r="A67" s="2">
        <v>3</v>
      </c>
      <c r="D67" s="19" t="str">
        <f>VLOOKUP(A67,TIPOLOGIA!$D$10:$E$12,2,0)</f>
        <v>-</v>
      </c>
      <c r="E67" s="25" t="str">
        <f>+E66</f>
        <v>(ano)</v>
      </c>
      <c r="F67" s="154">
        <v>0</v>
      </c>
      <c r="G67" s="74">
        <f t="shared" si="20"/>
        <v>0</v>
      </c>
      <c r="H67" s="74">
        <f t="shared" si="20"/>
        <v>0</v>
      </c>
      <c r="I67" s="74">
        <f t="shared" si="20"/>
        <v>0</v>
      </c>
      <c r="J67" s="74">
        <f t="shared" si="20"/>
        <v>0</v>
      </c>
      <c r="K67" s="74">
        <f t="shared" si="20"/>
        <v>0</v>
      </c>
      <c r="L67" s="74">
        <f t="shared" si="20"/>
        <v>0</v>
      </c>
      <c r="M67" s="74">
        <f t="shared" si="20"/>
        <v>0</v>
      </c>
      <c r="N67" s="74">
        <f t="shared" si="20"/>
        <v>0</v>
      </c>
      <c r="O67" s="74">
        <f t="shared" si="20"/>
        <v>0</v>
      </c>
      <c r="P67" s="74">
        <f t="shared" si="20"/>
        <v>0</v>
      </c>
      <c r="Q67" s="74">
        <f t="shared" si="20"/>
        <v>0</v>
      </c>
      <c r="R67" s="74">
        <f t="shared" si="20"/>
        <v>0</v>
      </c>
      <c r="S67" s="74">
        <f t="shared" si="20"/>
        <v>0</v>
      </c>
      <c r="T67" s="75">
        <f t="shared" si="20"/>
        <v>0</v>
      </c>
    </row>
    <row r="69" spans="1:21" ht="15.75">
      <c r="C69" s="381" t="str">
        <f>+MENU!$C$27</f>
        <v>2.5.2. - VALOR RESIDUAL DE VEÍCULOS DA FROTA</v>
      </c>
    </row>
    <row r="70" spans="1:21">
      <c r="C70" s="4"/>
    </row>
    <row r="71" spans="1:21" ht="18" customHeight="1">
      <c r="C71" s="694" t="s">
        <v>448</v>
      </c>
      <c r="D71" s="695"/>
      <c r="E71" s="14" t="s">
        <v>6</v>
      </c>
      <c r="F71" s="572">
        <v>1</v>
      </c>
      <c r="G71" s="572">
        <f t="shared" ref="G71:T71" si="21">+F71+1</f>
        <v>2</v>
      </c>
      <c r="H71" s="572">
        <f t="shared" si="21"/>
        <v>3</v>
      </c>
      <c r="I71" s="572">
        <f t="shared" si="21"/>
        <v>4</v>
      </c>
      <c r="J71" s="572">
        <f t="shared" si="21"/>
        <v>5</v>
      </c>
      <c r="K71" s="572">
        <f t="shared" si="21"/>
        <v>6</v>
      </c>
      <c r="L71" s="572">
        <f t="shared" si="21"/>
        <v>7</v>
      </c>
      <c r="M71" s="572">
        <f t="shared" si="21"/>
        <v>8</v>
      </c>
      <c r="N71" s="572">
        <f t="shared" si="21"/>
        <v>9</v>
      </c>
      <c r="O71" s="572">
        <f t="shared" si="21"/>
        <v>10</v>
      </c>
      <c r="P71" s="572">
        <f t="shared" si="21"/>
        <v>11</v>
      </c>
      <c r="Q71" s="572">
        <f t="shared" si="21"/>
        <v>12</v>
      </c>
      <c r="R71" s="572">
        <f t="shared" si="21"/>
        <v>13</v>
      </c>
      <c r="S71" s="572">
        <f t="shared" si="21"/>
        <v>14</v>
      </c>
      <c r="T71" s="573">
        <f t="shared" si="21"/>
        <v>15</v>
      </c>
    </row>
    <row r="72" spans="1:21">
      <c r="A72" s="2">
        <v>1</v>
      </c>
      <c r="D72" s="19" t="str">
        <f>VLOOKUP(A72,TIPOLOGIA!$D$10:$E$12,2,0)</f>
        <v>MICROÔNIBUS</v>
      </c>
      <c r="E72" s="20" t="s">
        <v>47</v>
      </c>
      <c r="F72" s="635">
        <v>0.15</v>
      </c>
      <c r="G72" s="81">
        <f>F72</f>
        <v>0.15</v>
      </c>
      <c r="H72" s="81">
        <f t="shared" ref="H72:T74" si="22">G72</f>
        <v>0.15</v>
      </c>
      <c r="I72" s="81">
        <f t="shared" si="22"/>
        <v>0.15</v>
      </c>
      <c r="J72" s="81">
        <f t="shared" si="22"/>
        <v>0.15</v>
      </c>
      <c r="K72" s="81">
        <f t="shared" si="22"/>
        <v>0.15</v>
      </c>
      <c r="L72" s="81">
        <f t="shared" si="22"/>
        <v>0.15</v>
      </c>
      <c r="M72" s="81">
        <f t="shared" si="22"/>
        <v>0.15</v>
      </c>
      <c r="N72" s="81">
        <f t="shared" si="22"/>
        <v>0.15</v>
      </c>
      <c r="O72" s="81">
        <f t="shared" si="22"/>
        <v>0.15</v>
      </c>
      <c r="P72" s="81">
        <f t="shared" si="22"/>
        <v>0.15</v>
      </c>
      <c r="Q72" s="81">
        <f t="shared" si="22"/>
        <v>0.15</v>
      </c>
      <c r="R72" s="81">
        <f t="shared" si="22"/>
        <v>0.15</v>
      </c>
      <c r="S72" s="81">
        <f t="shared" si="22"/>
        <v>0.15</v>
      </c>
      <c r="T72" s="82">
        <f t="shared" si="22"/>
        <v>0.15</v>
      </c>
      <c r="U72" s="83"/>
    </row>
    <row r="73" spans="1:21">
      <c r="A73" s="2">
        <v>2</v>
      </c>
      <c r="D73" s="19" t="str">
        <f>VLOOKUP(A73,TIPOLOGIA!$D$10:$E$12,2,0)</f>
        <v>CONVENCIONAL</v>
      </c>
      <c r="E73" s="18" t="str">
        <f>+E72</f>
        <v>(%/Veíc.)</v>
      </c>
      <c r="F73" s="636">
        <v>0.1</v>
      </c>
      <c r="G73" s="81">
        <f>F73</f>
        <v>0.1</v>
      </c>
      <c r="H73" s="81">
        <f t="shared" si="22"/>
        <v>0.1</v>
      </c>
      <c r="I73" s="81">
        <f t="shared" si="22"/>
        <v>0.1</v>
      </c>
      <c r="J73" s="81">
        <f t="shared" si="22"/>
        <v>0.1</v>
      </c>
      <c r="K73" s="81">
        <f t="shared" si="22"/>
        <v>0.1</v>
      </c>
      <c r="L73" s="81">
        <f t="shared" si="22"/>
        <v>0.1</v>
      </c>
      <c r="M73" s="81">
        <f t="shared" si="22"/>
        <v>0.1</v>
      </c>
      <c r="N73" s="81">
        <f t="shared" si="22"/>
        <v>0.1</v>
      </c>
      <c r="O73" s="81">
        <f t="shared" si="22"/>
        <v>0.1</v>
      </c>
      <c r="P73" s="81">
        <f t="shared" si="22"/>
        <v>0.1</v>
      </c>
      <c r="Q73" s="81">
        <f t="shared" si="22"/>
        <v>0.1</v>
      </c>
      <c r="R73" s="81">
        <f t="shared" si="22"/>
        <v>0.1</v>
      </c>
      <c r="S73" s="81">
        <f t="shared" si="22"/>
        <v>0.1</v>
      </c>
      <c r="T73" s="84">
        <f t="shared" si="22"/>
        <v>0.1</v>
      </c>
      <c r="U73" s="83"/>
    </row>
    <row r="74" spans="1:21">
      <c r="A74" s="2">
        <v>3</v>
      </c>
      <c r="D74" s="19" t="str">
        <f>VLOOKUP(A74,TIPOLOGIA!$D$10:$E$12,2,0)</f>
        <v>-</v>
      </c>
      <c r="E74" s="25" t="str">
        <f>+E73</f>
        <v>(%/Veíc.)</v>
      </c>
      <c r="F74" s="637">
        <v>0</v>
      </c>
      <c r="G74" s="81">
        <f>F74</f>
        <v>0</v>
      </c>
      <c r="H74" s="81">
        <f t="shared" si="22"/>
        <v>0</v>
      </c>
      <c r="I74" s="81">
        <f t="shared" si="22"/>
        <v>0</v>
      </c>
      <c r="J74" s="81">
        <f t="shared" si="22"/>
        <v>0</v>
      </c>
      <c r="K74" s="81">
        <f t="shared" si="22"/>
        <v>0</v>
      </c>
      <c r="L74" s="81">
        <f t="shared" si="22"/>
        <v>0</v>
      </c>
      <c r="M74" s="81">
        <f t="shared" si="22"/>
        <v>0</v>
      </c>
      <c r="N74" s="81">
        <f t="shared" si="22"/>
        <v>0</v>
      </c>
      <c r="O74" s="81">
        <f t="shared" si="22"/>
        <v>0</v>
      </c>
      <c r="P74" s="81">
        <f t="shared" si="22"/>
        <v>0</v>
      </c>
      <c r="Q74" s="81">
        <f t="shared" si="22"/>
        <v>0</v>
      </c>
      <c r="R74" s="81">
        <f t="shared" si="22"/>
        <v>0</v>
      </c>
      <c r="S74" s="81">
        <f t="shared" si="22"/>
        <v>0</v>
      </c>
      <c r="T74" s="84">
        <f t="shared" si="22"/>
        <v>0</v>
      </c>
      <c r="U74" s="83"/>
    </row>
    <row r="75" spans="1:21"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</row>
    <row r="77" spans="1:21" ht="15.75">
      <c r="C77" s="381" t="str">
        <f>+MENU!$C$28</f>
        <v>2.6. - FATOR DE UTILIZAÇÃO, PARÂMETROS, QUANTITATIVO DE BENEFÍCIOS E ENCARGOS SOCIAIS</v>
      </c>
      <c r="D77" s="387"/>
    </row>
    <row r="78" spans="1:21">
      <c r="E78" s="2"/>
    </row>
    <row r="79" spans="1:21" ht="15.75">
      <c r="C79" s="381" t="str">
        <f>+MENU!$C$29</f>
        <v>2.6.1. - FATOR DE UTILIZAÇÃO DO PESSOAL DE OPERAÇÃO</v>
      </c>
      <c r="E79" s="2"/>
    </row>
    <row r="80" spans="1:21">
      <c r="C80" s="4"/>
      <c r="E80" s="2"/>
    </row>
    <row r="81" spans="1:20" ht="18" customHeight="1">
      <c r="C81" s="694" t="s">
        <v>51</v>
      </c>
      <c r="D81" s="696"/>
      <c r="E81" s="14" t="s">
        <v>6</v>
      </c>
      <c r="F81" s="572">
        <v>1</v>
      </c>
      <c r="G81" s="572">
        <f t="shared" ref="G81:T81" si="23">+F81+1</f>
        <v>2</v>
      </c>
      <c r="H81" s="572">
        <f t="shared" si="23"/>
        <v>3</v>
      </c>
      <c r="I81" s="572">
        <f t="shared" si="23"/>
        <v>4</v>
      </c>
      <c r="J81" s="572">
        <f t="shared" si="23"/>
        <v>5</v>
      </c>
      <c r="K81" s="572">
        <f t="shared" si="23"/>
        <v>6</v>
      </c>
      <c r="L81" s="572">
        <f t="shared" si="23"/>
        <v>7</v>
      </c>
      <c r="M81" s="572">
        <f t="shared" si="23"/>
        <v>8</v>
      </c>
      <c r="N81" s="572">
        <f t="shared" si="23"/>
        <v>9</v>
      </c>
      <c r="O81" s="572">
        <f t="shared" si="23"/>
        <v>10</v>
      </c>
      <c r="P81" s="572">
        <f t="shared" si="23"/>
        <v>11</v>
      </c>
      <c r="Q81" s="572">
        <f t="shared" si="23"/>
        <v>12</v>
      </c>
      <c r="R81" s="572">
        <f t="shared" si="23"/>
        <v>13</v>
      </c>
      <c r="S81" s="572">
        <f t="shared" si="23"/>
        <v>14</v>
      </c>
      <c r="T81" s="573">
        <f t="shared" si="23"/>
        <v>15</v>
      </c>
    </row>
    <row r="82" spans="1:20">
      <c r="A82" s="2">
        <v>1</v>
      </c>
      <c r="D82" s="19" t="s">
        <v>48</v>
      </c>
      <c r="E82" s="20" t="s">
        <v>52</v>
      </c>
      <c r="F82" s="628">
        <v>2.21</v>
      </c>
      <c r="G82" s="57">
        <f>F82</f>
        <v>2.21</v>
      </c>
      <c r="H82" s="57">
        <f t="shared" ref="H82:S82" si="24">G82</f>
        <v>2.21</v>
      </c>
      <c r="I82" s="57">
        <f t="shared" si="24"/>
        <v>2.21</v>
      </c>
      <c r="J82" s="57">
        <f t="shared" si="24"/>
        <v>2.21</v>
      </c>
      <c r="K82" s="57">
        <f t="shared" si="24"/>
        <v>2.21</v>
      </c>
      <c r="L82" s="57">
        <f t="shared" si="24"/>
        <v>2.21</v>
      </c>
      <c r="M82" s="57">
        <f t="shared" si="24"/>
        <v>2.21</v>
      </c>
      <c r="N82" s="57">
        <f t="shared" si="24"/>
        <v>2.21</v>
      </c>
      <c r="O82" s="57">
        <f t="shared" si="24"/>
        <v>2.21</v>
      </c>
      <c r="P82" s="57">
        <f t="shared" si="24"/>
        <v>2.21</v>
      </c>
      <c r="Q82" s="57">
        <f t="shared" si="24"/>
        <v>2.21</v>
      </c>
      <c r="R82" s="57">
        <f t="shared" si="24"/>
        <v>2.21</v>
      </c>
      <c r="S82" s="57">
        <f t="shared" si="24"/>
        <v>2.21</v>
      </c>
      <c r="T82" s="85">
        <f>S82</f>
        <v>2.21</v>
      </c>
    </row>
    <row r="83" spans="1:20">
      <c r="A83" s="2">
        <v>2</v>
      </c>
      <c r="D83" s="17" t="s">
        <v>49</v>
      </c>
      <c r="E83" s="18" t="str">
        <f>+E82</f>
        <v>(Func./Veíc. Op.)</v>
      </c>
      <c r="F83" s="629">
        <v>0.2</v>
      </c>
      <c r="G83" s="57">
        <f>+F83</f>
        <v>0.2</v>
      </c>
      <c r="H83" s="57">
        <f t="shared" ref="H83:S84" si="25">+G83</f>
        <v>0.2</v>
      </c>
      <c r="I83" s="57">
        <f t="shared" si="25"/>
        <v>0.2</v>
      </c>
      <c r="J83" s="57">
        <f t="shared" si="25"/>
        <v>0.2</v>
      </c>
      <c r="K83" s="57">
        <f t="shared" si="25"/>
        <v>0.2</v>
      </c>
      <c r="L83" s="57">
        <f t="shared" si="25"/>
        <v>0.2</v>
      </c>
      <c r="M83" s="57">
        <f t="shared" si="25"/>
        <v>0.2</v>
      </c>
      <c r="N83" s="57">
        <f t="shared" si="25"/>
        <v>0.2</v>
      </c>
      <c r="O83" s="57">
        <f t="shared" si="25"/>
        <v>0.2</v>
      </c>
      <c r="P83" s="57">
        <f t="shared" si="25"/>
        <v>0.2</v>
      </c>
      <c r="Q83" s="57">
        <f t="shared" si="25"/>
        <v>0.2</v>
      </c>
      <c r="R83" s="57">
        <f t="shared" si="25"/>
        <v>0.2</v>
      </c>
      <c r="S83" s="57">
        <f t="shared" si="25"/>
        <v>0.2</v>
      </c>
      <c r="T83" s="58">
        <f>S83</f>
        <v>0.2</v>
      </c>
    </row>
    <row r="84" spans="1:20">
      <c r="A84" s="2">
        <v>3</v>
      </c>
      <c r="D84" s="24" t="s">
        <v>50</v>
      </c>
      <c r="E84" s="25" t="str">
        <f>+E83</f>
        <v>(Func./Veíc. Op.)</v>
      </c>
      <c r="F84" s="630">
        <v>0.2</v>
      </c>
      <c r="G84" s="57">
        <f>+F84</f>
        <v>0.2</v>
      </c>
      <c r="H84" s="57">
        <f t="shared" si="25"/>
        <v>0.2</v>
      </c>
      <c r="I84" s="57">
        <f t="shared" si="25"/>
        <v>0.2</v>
      </c>
      <c r="J84" s="57">
        <f t="shared" si="25"/>
        <v>0.2</v>
      </c>
      <c r="K84" s="57">
        <f t="shared" si="25"/>
        <v>0.2</v>
      </c>
      <c r="L84" s="57">
        <f t="shared" si="25"/>
        <v>0.2</v>
      </c>
      <c r="M84" s="57">
        <f t="shared" si="25"/>
        <v>0.2</v>
      </c>
      <c r="N84" s="57">
        <f t="shared" si="25"/>
        <v>0.2</v>
      </c>
      <c r="O84" s="57">
        <f t="shared" si="25"/>
        <v>0.2</v>
      </c>
      <c r="P84" s="57">
        <f t="shared" si="25"/>
        <v>0.2</v>
      </c>
      <c r="Q84" s="57">
        <f t="shared" si="25"/>
        <v>0.2</v>
      </c>
      <c r="R84" s="57">
        <f t="shared" si="25"/>
        <v>0.2</v>
      </c>
      <c r="S84" s="57">
        <f t="shared" si="25"/>
        <v>0.2</v>
      </c>
      <c r="T84" s="58">
        <f>S84</f>
        <v>0.2</v>
      </c>
    </row>
    <row r="85" spans="1:20"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</row>
    <row r="86" spans="1:20" ht="15.75">
      <c r="C86" s="381" t="str">
        <f>+MENU!$C$30</f>
        <v>2.6.2. - FATOR DE UTILIZAÇÃO DO PESSOAL DE OPERAÇÃO (FÍSICO) PARA CÁLCULOS DOS BENEFÍCIOS</v>
      </c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</row>
    <row r="87" spans="1:20">
      <c r="C87" s="4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</row>
    <row r="88" spans="1:20" ht="42" customHeight="1">
      <c r="C88" s="697" t="s">
        <v>393</v>
      </c>
      <c r="D88" s="698"/>
      <c r="E88" s="14" t="s">
        <v>6</v>
      </c>
      <c r="F88" s="572">
        <v>1</v>
      </c>
      <c r="G88" s="572">
        <f t="shared" ref="G88:T88" si="26">+F88+1</f>
        <v>2</v>
      </c>
      <c r="H88" s="572">
        <f t="shared" si="26"/>
        <v>3</v>
      </c>
      <c r="I88" s="572">
        <f t="shared" si="26"/>
        <v>4</v>
      </c>
      <c r="J88" s="572">
        <f t="shared" si="26"/>
        <v>5</v>
      </c>
      <c r="K88" s="572">
        <f t="shared" si="26"/>
        <v>6</v>
      </c>
      <c r="L88" s="572">
        <f t="shared" si="26"/>
        <v>7</v>
      </c>
      <c r="M88" s="572">
        <f t="shared" si="26"/>
        <v>8</v>
      </c>
      <c r="N88" s="572">
        <f t="shared" si="26"/>
        <v>9</v>
      </c>
      <c r="O88" s="572">
        <f t="shared" si="26"/>
        <v>10</v>
      </c>
      <c r="P88" s="572">
        <f t="shared" si="26"/>
        <v>11</v>
      </c>
      <c r="Q88" s="572">
        <f t="shared" si="26"/>
        <v>12</v>
      </c>
      <c r="R88" s="572">
        <f t="shared" si="26"/>
        <v>13</v>
      </c>
      <c r="S88" s="572">
        <f t="shared" si="26"/>
        <v>14</v>
      </c>
      <c r="T88" s="573">
        <f t="shared" si="26"/>
        <v>15</v>
      </c>
    </row>
    <row r="89" spans="1:20">
      <c r="A89" s="2">
        <v>1</v>
      </c>
      <c r="D89" s="19" t="s">
        <v>48</v>
      </c>
      <c r="E89" s="20" t="str">
        <f>+E82</f>
        <v>(Func./Veíc. Op.)</v>
      </c>
      <c r="F89" s="628">
        <v>2.21</v>
      </c>
      <c r="G89" s="57">
        <f t="shared" ref="G89:T89" si="27">F89</f>
        <v>2.21</v>
      </c>
      <c r="H89" s="57">
        <f t="shared" si="27"/>
        <v>2.21</v>
      </c>
      <c r="I89" s="57">
        <f t="shared" si="27"/>
        <v>2.21</v>
      </c>
      <c r="J89" s="57">
        <f t="shared" si="27"/>
        <v>2.21</v>
      </c>
      <c r="K89" s="57">
        <f t="shared" si="27"/>
        <v>2.21</v>
      </c>
      <c r="L89" s="57">
        <f t="shared" si="27"/>
        <v>2.21</v>
      </c>
      <c r="M89" s="57">
        <f t="shared" si="27"/>
        <v>2.21</v>
      </c>
      <c r="N89" s="57">
        <f t="shared" si="27"/>
        <v>2.21</v>
      </c>
      <c r="O89" s="57">
        <f t="shared" si="27"/>
        <v>2.21</v>
      </c>
      <c r="P89" s="57">
        <f t="shared" si="27"/>
        <v>2.21</v>
      </c>
      <c r="Q89" s="57">
        <f t="shared" si="27"/>
        <v>2.21</v>
      </c>
      <c r="R89" s="57">
        <f t="shared" si="27"/>
        <v>2.21</v>
      </c>
      <c r="S89" s="57">
        <f t="shared" si="27"/>
        <v>2.21</v>
      </c>
      <c r="T89" s="85">
        <f t="shared" si="27"/>
        <v>2.21</v>
      </c>
    </row>
    <row r="90" spans="1:20">
      <c r="A90" s="2">
        <v>2</v>
      </c>
      <c r="D90" s="17" t="s">
        <v>49</v>
      </c>
      <c r="E90" s="18" t="str">
        <f>+E89</f>
        <v>(Func./Veíc. Op.)</v>
      </c>
      <c r="F90" s="629">
        <v>0.2</v>
      </c>
      <c r="G90" s="57">
        <f t="shared" ref="G90:S90" si="28">+F90</f>
        <v>0.2</v>
      </c>
      <c r="H90" s="57">
        <f t="shared" si="28"/>
        <v>0.2</v>
      </c>
      <c r="I90" s="57">
        <f t="shared" si="28"/>
        <v>0.2</v>
      </c>
      <c r="J90" s="57">
        <f t="shared" si="28"/>
        <v>0.2</v>
      </c>
      <c r="K90" s="57">
        <f t="shared" si="28"/>
        <v>0.2</v>
      </c>
      <c r="L90" s="57">
        <f t="shared" si="28"/>
        <v>0.2</v>
      </c>
      <c r="M90" s="57">
        <f t="shared" si="28"/>
        <v>0.2</v>
      </c>
      <c r="N90" s="57">
        <f t="shared" si="28"/>
        <v>0.2</v>
      </c>
      <c r="O90" s="57">
        <f t="shared" si="28"/>
        <v>0.2</v>
      </c>
      <c r="P90" s="57">
        <f t="shared" si="28"/>
        <v>0.2</v>
      </c>
      <c r="Q90" s="57">
        <f t="shared" si="28"/>
        <v>0.2</v>
      </c>
      <c r="R90" s="57">
        <f t="shared" si="28"/>
        <v>0.2</v>
      </c>
      <c r="S90" s="57">
        <f t="shared" si="28"/>
        <v>0.2</v>
      </c>
      <c r="T90" s="58">
        <f>S90</f>
        <v>0.2</v>
      </c>
    </row>
    <row r="91" spans="1:20">
      <c r="A91" s="2">
        <v>3</v>
      </c>
      <c r="D91" s="24" t="s">
        <v>50</v>
      </c>
      <c r="E91" s="25" t="str">
        <f>+E90</f>
        <v>(Func./Veíc. Op.)</v>
      </c>
      <c r="F91" s="630">
        <v>0.2</v>
      </c>
      <c r="G91" s="57">
        <f t="shared" ref="G91:S91" si="29">+F91</f>
        <v>0.2</v>
      </c>
      <c r="H91" s="57">
        <f t="shared" si="29"/>
        <v>0.2</v>
      </c>
      <c r="I91" s="57">
        <f t="shared" si="29"/>
        <v>0.2</v>
      </c>
      <c r="J91" s="57">
        <f t="shared" si="29"/>
        <v>0.2</v>
      </c>
      <c r="K91" s="57">
        <f t="shared" si="29"/>
        <v>0.2</v>
      </c>
      <c r="L91" s="57">
        <f t="shared" si="29"/>
        <v>0.2</v>
      </c>
      <c r="M91" s="57">
        <f t="shared" si="29"/>
        <v>0.2</v>
      </c>
      <c r="N91" s="57">
        <f t="shared" si="29"/>
        <v>0.2</v>
      </c>
      <c r="O91" s="57">
        <f t="shared" si="29"/>
        <v>0.2</v>
      </c>
      <c r="P91" s="57">
        <f t="shared" si="29"/>
        <v>0.2</v>
      </c>
      <c r="Q91" s="57">
        <f t="shared" si="29"/>
        <v>0.2</v>
      </c>
      <c r="R91" s="57">
        <f t="shared" si="29"/>
        <v>0.2</v>
      </c>
      <c r="S91" s="57">
        <f t="shared" si="29"/>
        <v>0.2</v>
      </c>
      <c r="T91" s="58">
        <f>S91</f>
        <v>0.2</v>
      </c>
    </row>
    <row r="92" spans="1:20"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</row>
    <row r="94" spans="1:20" ht="15.75">
      <c r="C94" s="381" t="str">
        <f>+MENU!$C$31</f>
        <v>2.6.3. - PARÂMETRO PESSOAL DE MANUTEÇÃO</v>
      </c>
    </row>
    <row r="95" spans="1:20">
      <c r="C95" s="4"/>
    </row>
    <row r="96" spans="1:20" ht="18" customHeight="1">
      <c r="C96" s="694" t="s">
        <v>61</v>
      </c>
      <c r="D96" s="696"/>
      <c r="E96" s="14" t="s">
        <v>6</v>
      </c>
      <c r="F96" s="572">
        <v>1</v>
      </c>
      <c r="G96" s="572">
        <f t="shared" ref="G96:T96" si="30">+F96+1</f>
        <v>2</v>
      </c>
      <c r="H96" s="572">
        <f t="shared" si="30"/>
        <v>3</v>
      </c>
      <c r="I96" s="572">
        <f t="shared" si="30"/>
        <v>4</v>
      </c>
      <c r="J96" s="572">
        <f t="shared" si="30"/>
        <v>5</v>
      </c>
      <c r="K96" s="572">
        <f t="shared" si="30"/>
        <v>6</v>
      </c>
      <c r="L96" s="572">
        <f t="shared" si="30"/>
        <v>7</v>
      </c>
      <c r="M96" s="572">
        <f t="shared" si="30"/>
        <v>8</v>
      </c>
      <c r="N96" s="572">
        <f t="shared" si="30"/>
        <v>9</v>
      </c>
      <c r="O96" s="572">
        <f t="shared" si="30"/>
        <v>10</v>
      </c>
      <c r="P96" s="572">
        <f t="shared" si="30"/>
        <v>11</v>
      </c>
      <c r="Q96" s="572">
        <f t="shared" si="30"/>
        <v>12</v>
      </c>
      <c r="R96" s="572">
        <f t="shared" si="30"/>
        <v>13</v>
      </c>
      <c r="S96" s="572">
        <f t="shared" si="30"/>
        <v>14</v>
      </c>
      <c r="T96" s="573">
        <f t="shared" si="30"/>
        <v>15</v>
      </c>
    </row>
    <row r="97" spans="1:20">
      <c r="A97" s="2">
        <v>1</v>
      </c>
      <c r="D97" s="19" t="s">
        <v>56</v>
      </c>
      <c r="E97" s="20" t="s">
        <v>57</v>
      </c>
      <c r="F97" s="634">
        <f>ROUND((12%+13%)/2,4)</f>
        <v>0.125</v>
      </c>
      <c r="G97" s="86">
        <f t="shared" ref="G97:T97" si="31">F97</f>
        <v>0.125</v>
      </c>
      <c r="H97" s="86">
        <f t="shared" si="31"/>
        <v>0.125</v>
      </c>
      <c r="I97" s="86">
        <f t="shared" si="31"/>
        <v>0.125</v>
      </c>
      <c r="J97" s="86">
        <f t="shared" si="31"/>
        <v>0.125</v>
      </c>
      <c r="K97" s="86">
        <f t="shared" si="31"/>
        <v>0.125</v>
      </c>
      <c r="L97" s="86">
        <f t="shared" si="31"/>
        <v>0.125</v>
      </c>
      <c r="M97" s="86">
        <f t="shared" si="31"/>
        <v>0.125</v>
      </c>
      <c r="N97" s="86">
        <f t="shared" si="31"/>
        <v>0.125</v>
      </c>
      <c r="O97" s="86">
        <f t="shared" si="31"/>
        <v>0.125</v>
      </c>
      <c r="P97" s="86">
        <f t="shared" si="31"/>
        <v>0.125</v>
      </c>
      <c r="Q97" s="86">
        <f t="shared" si="31"/>
        <v>0.125</v>
      </c>
      <c r="R97" s="86">
        <f t="shared" si="31"/>
        <v>0.125</v>
      </c>
      <c r="S97" s="86">
        <f t="shared" si="31"/>
        <v>0.125</v>
      </c>
      <c r="T97" s="87">
        <f t="shared" si="31"/>
        <v>0.125</v>
      </c>
    </row>
    <row r="98" spans="1:20"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</row>
    <row r="99" spans="1:20"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</row>
    <row r="100" spans="1:20" ht="15.75">
      <c r="C100" s="381" t="str">
        <f>+MENU!$C$32</f>
        <v>2.6.4. - PARÂMETRO PESSOAL DE ADMINISTRATIVO</v>
      </c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</row>
    <row r="101" spans="1:20">
      <c r="C101" s="4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</row>
    <row r="102" spans="1:20" ht="18" customHeight="1">
      <c r="C102" s="694" t="s">
        <v>62</v>
      </c>
      <c r="D102" s="696"/>
      <c r="E102" s="14" t="s">
        <v>6</v>
      </c>
      <c r="F102" s="572">
        <v>1</v>
      </c>
      <c r="G102" s="572">
        <f t="shared" ref="G102:T102" si="32">+F102+1</f>
        <v>2</v>
      </c>
      <c r="H102" s="572">
        <f t="shared" si="32"/>
        <v>3</v>
      </c>
      <c r="I102" s="572">
        <f t="shared" si="32"/>
        <v>4</v>
      </c>
      <c r="J102" s="572">
        <f t="shared" si="32"/>
        <v>5</v>
      </c>
      <c r="K102" s="572">
        <f t="shared" si="32"/>
        <v>6</v>
      </c>
      <c r="L102" s="572">
        <f t="shared" si="32"/>
        <v>7</v>
      </c>
      <c r="M102" s="572">
        <f t="shared" si="32"/>
        <v>8</v>
      </c>
      <c r="N102" s="572">
        <f t="shared" si="32"/>
        <v>9</v>
      </c>
      <c r="O102" s="572">
        <f t="shared" si="32"/>
        <v>10</v>
      </c>
      <c r="P102" s="572">
        <f t="shared" si="32"/>
        <v>11</v>
      </c>
      <c r="Q102" s="572">
        <f t="shared" si="32"/>
        <v>12</v>
      </c>
      <c r="R102" s="572">
        <f t="shared" si="32"/>
        <v>13</v>
      </c>
      <c r="S102" s="572">
        <f t="shared" si="32"/>
        <v>14</v>
      </c>
      <c r="T102" s="573">
        <f t="shared" si="32"/>
        <v>15</v>
      </c>
    </row>
    <row r="103" spans="1:20">
      <c r="D103" s="19" t="s">
        <v>56</v>
      </c>
      <c r="E103" s="20" t="s">
        <v>57</v>
      </c>
      <c r="F103" s="634">
        <f>ROUND((8%+9%)/2,4)</f>
        <v>8.5000000000000006E-2</v>
      </c>
      <c r="G103" s="86">
        <f t="shared" ref="G103:T103" si="33">F103</f>
        <v>8.5000000000000006E-2</v>
      </c>
      <c r="H103" s="86">
        <f t="shared" si="33"/>
        <v>8.5000000000000006E-2</v>
      </c>
      <c r="I103" s="86">
        <f t="shared" si="33"/>
        <v>8.5000000000000006E-2</v>
      </c>
      <c r="J103" s="86">
        <f t="shared" si="33"/>
        <v>8.5000000000000006E-2</v>
      </c>
      <c r="K103" s="86">
        <f t="shared" si="33"/>
        <v>8.5000000000000006E-2</v>
      </c>
      <c r="L103" s="86">
        <f t="shared" si="33"/>
        <v>8.5000000000000006E-2</v>
      </c>
      <c r="M103" s="86">
        <f t="shared" si="33"/>
        <v>8.5000000000000006E-2</v>
      </c>
      <c r="N103" s="86">
        <f t="shared" si="33"/>
        <v>8.5000000000000006E-2</v>
      </c>
      <c r="O103" s="86">
        <f t="shared" si="33"/>
        <v>8.5000000000000006E-2</v>
      </c>
      <c r="P103" s="86">
        <f t="shared" si="33"/>
        <v>8.5000000000000006E-2</v>
      </c>
      <c r="Q103" s="86">
        <f t="shared" si="33"/>
        <v>8.5000000000000006E-2</v>
      </c>
      <c r="R103" s="86">
        <f t="shared" si="33"/>
        <v>8.5000000000000006E-2</v>
      </c>
      <c r="S103" s="86">
        <f t="shared" si="33"/>
        <v>8.5000000000000006E-2</v>
      </c>
      <c r="T103" s="87">
        <f t="shared" si="33"/>
        <v>8.5000000000000006E-2</v>
      </c>
    </row>
    <row r="104" spans="1:20"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</row>
    <row r="105" spans="1:20"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</row>
    <row r="106" spans="1:20" ht="15.75">
      <c r="C106" s="381" t="str">
        <f>+MENU!$C$33</f>
        <v>2.6.5. - QUANTITATIVO DE BENEFÍCIOS</v>
      </c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</row>
    <row r="107" spans="1:20">
      <c r="C107" s="4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</row>
    <row r="108" spans="1:20" ht="18" customHeight="1">
      <c r="C108" s="694" t="s">
        <v>53</v>
      </c>
      <c r="D108" s="696"/>
      <c r="E108" s="14" t="s">
        <v>6</v>
      </c>
      <c r="F108" s="572">
        <v>1</v>
      </c>
      <c r="G108" s="572">
        <f t="shared" ref="G108:T108" si="34">+F108+1</f>
        <v>2</v>
      </c>
      <c r="H108" s="572">
        <f t="shared" si="34"/>
        <v>3</v>
      </c>
      <c r="I108" s="572">
        <f t="shared" si="34"/>
        <v>4</v>
      </c>
      <c r="J108" s="572">
        <f t="shared" si="34"/>
        <v>5</v>
      </c>
      <c r="K108" s="572">
        <f t="shared" si="34"/>
        <v>6</v>
      </c>
      <c r="L108" s="572">
        <f t="shared" si="34"/>
        <v>7</v>
      </c>
      <c r="M108" s="572">
        <f t="shared" si="34"/>
        <v>8</v>
      </c>
      <c r="N108" s="572">
        <f t="shared" si="34"/>
        <v>9</v>
      </c>
      <c r="O108" s="572">
        <f t="shared" si="34"/>
        <v>10</v>
      </c>
      <c r="P108" s="572">
        <f t="shared" si="34"/>
        <v>11</v>
      </c>
      <c r="Q108" s="572">
        <f t="shared" si="34"/>
        <v>12</v>
      </c>
      <c r="R108" s="572">
        <f t="shared" si="34"/>
        <v>13</v>
      </c>
      <c r="S108" s="572">
        <f t="shared" si="34"/>
        <v>14</v>
      </c>
      <c r="T108" s="573">
        <f t="shared" si="34"/>
        <v>15</v>
      </c>
    </row>
    <row r="109" spans="1:20">
      <c r="A109" s="2">
        <v>1</v>
      </c>
      <c r="D109" s="19" t="s">
        <v>34</v>
      </c>
      <c r="E109" s="20" t="s">
        <v>392</v>
      </c>
      <c r="F109" s="631">
        <v>1</v>
      </c>
      <c r="G109" s="74">
        <f t="shared" ref="G109:S113" si="35">+F109</f>
        <v>1</v>
      </c>
      <c r="H109" s="74">
        <f t="shared" si="35"/>
        <v>1</v>
      </c>
      <c r="I109" s="74">
        <f t="shared" si="35"/>
        <v>1</v>
      </c>
      <c r="J109" s="74">
        <f t="shared" si="35"/>
        <v>1</v>
      </c>
      <c r="K109" s="74">
        <f t="shared" si="35"/>
        <v>1</v>
      </c>
      <c r="L109" s="74">
        <f t="shared" si="35"/>
        <v>1</v>
      </c>
      <c r="M109" s="74">
        <f t="shared" si="35"/>
        <v>1</v>
      </c>
      <c r="N109" s="74">
        <f t="shared" si="35"/>
        <v>1</v>
      </c>
      <c r="O109" s="74">
        <f t="shared" si="35"/>
        <v>1</v>
      </c>
      <c r="P109" s="74">
        <f t="shared" si="35"/>
        <v>1</v>
      </c>
      <c r="Q109" s="74">
        <f t="shared" si="35"/>
        <v>1</v>
      </c>
      <c r="R109" s="74">
        <f t="shared" si="35"/>
        <v>1</v>
      </c>
      <c r="S109" s="74">
        <f t="shared" si="35"/>
        <v>1</v>
      </c>
      <c r="T109" s="80">
        <f>S109</f>
        <v>1</v>
      </c>
    </row>
    <row r="110" spans="1:20">
      <c r="A110" s="2">
        <v>2</v>
      </c>
      <c r="D110" s="17" t="s">
        <v>35</v>
      </c>
      <c r="E110" s="18" t="s">
        <v>391</v>
      </c>
      <c r="F110" s="632">
        <v>30</v>
      </c>
      <c r="G110" s="74">
        <f t="shared" si="35"/>
        <v>30</v>
      </c>
      <c r="H110" s="74">
        <f t="shared" si="35"/>
        <v>30</v>
      </c>
      <c r="I110" s="74">
        <f t="shared" si="35"/>
        <v>30</v>
      </c>
      <c r="J110" s="74">
        <f t="shared" si="35"/>
        <v>30</v>
      </c>
      <c r="K110" s="74">
        <f t="shared" si="35"/>
        <v>30</v>
      </c>
      <c r="L110" s="74">
        <f t="shared" si="35"/>
        <v>30</v>
      </c>
      <c r="M110" s="74">
        <f t="shared" si="35"/>
        <v>30</v>
      </c>
      <c r="N110" s="74">
        <f t="shared" si="35"/>
        <v>30</v>
      </c>
      <c r="O110" s="74">
        <f t="shared" si="35"/>
        <v>30</v>
      </c>
      <c r="P110" s="74">
        <f t="shared" si="35"/>
        <v>30</v>
      </c>
      <c r="Q110" s="74">
        <f t="shared" si="35"/>
        <v>30</v>
      </c>
      <c r="R110" s="74">
        <f t="shared" si="35"/>
        <v>30</v>
      </c>
      <c r="S110" s="74">
        <f t="shared" si="35"/>
        <v>30</v>
      </c>
      <c r="T110" s="75">
        <f>S110</f>
        <v>30</v>
      </c>
    </row>
    <row r="111" spans="1:20">
      <c r="A111" s="2">
        <v>3</v>
      </c>
      <c r="D111" s="24" t="s">
        <v>36</v>
      </c>
      <c r="E111" s="25" t="str">
        <f>+E109</f>
        <v>(Un./Mês)</v>
      </c>
      <c r="F111" s="633">
        <v>0</v>
      </c>
      <c r="G111" s="74">
        <f t="shared" si="35"/>
        <v>0</v>
      </c>
      <c r="H111" s="74">
        <f t="shared" si="35"/>
        <v>0</v>
      </c>
      <c r="I111" s="74">
        <f t="shared" si="35"/>
        <v>0</v>
      </c>
      <c r="J111" s="74">
        <f t="shared" si="35"/>
        <v>0</v>
      </c>
      <c r="K111" s="74">
        <f t="shared" si="35"/>
        <v>0</v>
      </c>
      <c r="L111" s="74">
        <f t="shared" si="35"/>
        <v>0</v>
      </c>
      <c r="M111" s="74">
        <f t="shared" si="35"/>
        <v>0</v>
      </c>
      <c r="N111" s="74">
        <f t="shared" si="35"/>
        <v>0</v>
      </c>
      <c r="O111" s="74">
        <f t="shared" si="35"/>
        <v>0</v>
      </c>
      <c r="P111" s="74">
        <f t="shared" si="35"/>
        <v>0</v>
      </c>
      <c r="Q111" s="74">
        <f t="shared" si="35"/>
        <v>0</v>
      </c>
      <c r="R111" s="74">
        <f t="shared" si="35"/>
        <v>0</v>
      </c>
      <c r="S111" s="74">
        <f t="shared" si="35"/>
        <v>0</v>
      </c>
      <c r="T111" s="75">
        <f>S111</f>
        <v>0</v>
      </c>
    </row>
    <row r="112" spans="1:20">
      <c r="A112" s="2">
        <v>3</v>
      </c>
      <c r="D112" s="24" t="s">
        <v>37</v>
      </c>
      <c r="E112" s="25" t="str">
        <f>+E111</f>
        <v>(Un./Mês)</v>
      </c>
      <c r="F112" s="633">
        <v>0</v>
      </c>
      <c r="G112" s="74">
        <f t="shared" si="35"/>
        <v>0</v>
      </c>
      <c r="H112" s="74">
        <f t="shared" si="35"/>
        <v>0</v>
      </c>
      <c r="I112" s="74">
        <f t="shared" si="35"/>
        <v>0</v>
      </c>
      <c r="J112" s="74">
        <f t="shared" si="35"/>
        <v>0</v>
      </c>
      <c r="K112" s="74">
        <f t="shared" si="35"/>
        <v>0</v>
      </c>
      <c r="L112" s="74">
        <f t="shared" si="35"/>
        <v>0</v>
      </c>
      <c r="M112" s="74">
        <f t="shared" si="35"/>
        <v>0</v>
      </c>
      <c r="N112" s="74">
        <f t="shared" si="35"/>
        <v>0</v>
      </c>
      <c r="O112" s="74">
        <f t="shared" si="35"/>
        <v>0</v>
      </c>
      <c r="P112" s="74">
        <f t="shared" si="35"/>
        <v>0</v>
      </c>
      <c r="Q112" s="74">
        <f t="shared" si="35"/>
        <v>0</v>
      </c>
      <c r="R112" s="74">
        <f t="shared" si="35"/>
        <v>0</v>
      </c>
      <c r="S112" s="74">
        <f t="shared" si="35"/>
        <v>0</v>
      </c>
      <c r="T112" s="75">
        <f>S112</f>
        <v>0</v>
      </c>
    </row>
    <row r="113" spans="1:21">
      <c r="A113" s="2">
        <v>3</v>
      </c>
      <c r="D113" s="24" t="s">
        <v>38</v>
      </c>
      <c r="E113" s="25" t="str">
        <f>+E112</f>
        <v>(Un./Mês)</v>
      </c>
      <c r="F113" s="633">
        <v>0</v>
      </c>
      <c r="G113" s="74">
        <f t="shared" si="35"/>
        <v>0</v>
      </c>
      <c r="H113" s="74">
        <f t="shared" si="35"/>
        <v>0</v>
      </c>
      <c r="I113" s="74">
        <f t="shared" si="35"/>
        <v>0</v>
      </c>
      <c r="J113" s="74">
        <f t="shared" si="35"/>
        <v>0</v>
      </c>
      <c r="K113" s="74">
        <f t="shared" si="35"/>
        <v>0</v>
      </c>
      <c r="L113" s="74">
        <f t="shared" si="35"/>
        <v>0</v>
      </c>
      <c r="M113" s="74">
        <f t="shared" si="35"/>
        <v>0</v>
      </c>
      <c r="N113" s="74">
        <f t="shared" si="35"/>
        <v>0</v>
      </c>
      <c r="O113" s="74">
        <f t="shared" si="35"/>
        <v>0</v>
      </c>
      <c r="P113" s="74">
        <f t="shared" si="35"/>
        <v>0</v>
      </c>
      <c r="Q113" s="74">
        <f t="shared" si="35"/>
        <v>0</v>
      </c>
      <c r="R113" s="74">
        <f t="shared" si="35"/>
        <v>0</v>
      </c>
      <c r="S113" s="74">
        <f t="shared" si="35"/>
        <v>0</v>
      </c>
      <c r="T113" s="75">
        <f>S113</f>
        <v>0</v>
      </c>
    </row>
    <row r="114" spans="1:21"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</row>
    <row r="115" spans="1:21"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</row>
    <row r="116" spans="1:21" ht="15.75">
      <c r="C116" s="381" t="str">
        <f>+MENU!$C$34</f>
        <v>2.7. - TOTAL DE ENCARGOS SOCIAIS</v>
      </c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</row>
    <row r="117" spans="1:21">
      <c r="C117" s="4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</row>
    <row r="118" spans="1:21" ht="18" customHeight="1">
      <c r="C118" s="694" t="s">
        <v>117</v>
      </c>
      <c r="D118" s="695"/>
      <c r="E118" s="14" t="s">
        <v>6</v>
      </c>
      <c r="F118" s="572">
        <v>1</v>
      </c>
      <c r="G118" s="572">
        <f t="shared" ref="G118:T118" si="36">+F118+1</f>
        <v>2</v>
      </c>
      <c r="H118" s="572">
        <f t="shared" si="36"/>
        <v>3</v>
      </c>
      <c r="I118" s="572">
        <f t="shared" si="36"/>
        <v>4</v>
      </c>
      <c r="J118" s="572">
        <f t="shared" si="36"/>
        <v>5</v>
      </c>
      <c r="K118" s="572">
        <f t="shared" si="36"/>
        <v>6</v>
      </c>
      <c r="L118" s="572">
        <f t="shared" si="36"/>
        <v>7</v>
      </c>
      <c r="M118" s="572">
        <f t="shared" si="36"/>
        <v>8</v>
      </c>
      <c r="N118" s="572">
        <f t="shared" si="36"/>
        <v>9</v>
      </c>
      <c r="O118" s="572">
        <f t="shared" si="36"/>
        <v>10</v>
      </c>
      <c r="P118" s="572">
        <f t="shared" si="36"/>
        <v>11</v>
      </c>
      <c r="Q118" s="572">
        <f t="shared" si="36"/>
        <v>12</v>
      </c>
      <c r="R118" s="572">
        <f t="shared" si="36"/>
        <v>13</v>
      </c>
      <c r="S118" s="572">
        <f t="shared" si="36"/>
        <v>14</v>
      </c>
      <c r="T118" s="573">
        <f t="shared" si="36"/>
        <v>15</v>
      </c>
    </row>
    <row r="119" spans="1:21">
      <c r="A119" s="2">
        <v>1</v>
      </c>
      <c r="D119" s="19" t="s">
        <v>124</v>
      </c>
      <c r="E119" s="20" t="s">
        <v>122</v>
      </c>
      <c r="F119" s="192">
        <f>+'9. ENCARGOS SOCIAIS'!C42</f>
        <v>0.42713000000000001</v>
      </c>
      <c r="G119" s="192">
        <f>+'9. ENCARGOS SOCIAIS'!D42</f>
        <v>0.65419000000000005</v>
      </c>
      <c r="H119" s="192">
        <f>+'9. ENCARGOS SOCIAIS'!E42</f>
        <v>0.65419000000000005</v>
      </c>
      <c r="I119" s="192">
        <f>+'9. ENCARGOS SOCIAIS'!F42</f>
        <v>0.65419000000000005</v>
      </c>
      <c r="J119" s="192">
        <f>+'9. ENCARGOS SOCIAIS'!G42</f>
        <v>0.65419000000000005</v>
      </c>
      <c r="K119" s="192">
        <f>+'9. ENCARGOS SOCIAIS'!H42</f>
        <v>0.65419000000000005</v>
      </c>
      <c r="L119" s="192">
        <f>+'9. ENCARGOS SOCIAIS'!I42</f>
        <v>0.65419000000000005</v>
      </c>
      <c r="M119" s="192">
        <f>+'9. ENCARGOS SOCIAIS'!J42</f>
        <v>0.65419000000000005</v>
      </c>
      <c r="N119" s="192">
        <f>+'9. ENCARGOS SOCIAIS'!K42</f>
        <v>0.65419000000000005</v>
      </c>
      <c r="O119" s="192">
        <f>+'9. ENCARGOS SOCIAIS'!L42</f>
        <v>0.65419000000000005</v>
      </c>
      <c r="P119" s="192">
        <f>+'9. ENCARGOS SOCIAIS'!M42</f>
        <v>0.65419000000000005</v>
      </c>
      <c r="Q119" s="192">
        <f>+'9. ENCARGOS SOCIAIS'!N42</f>
        <v>0.65419000000000005</v>
      </c>
      <c r="R119" s="192">
        <f>+'9. ENCARGOS SOCIAIS'!O42</f>
        <v>0.65419000000000005</v>
      </c>
      <c r="S119" s="192">
        <f>+'9. ENCARGOS SOCIAIS'!P42</f>
        <v>0.65419000000000005</v>
      </c>
      <c r="T119" s="192">
        <f>+'9. ENCARGOS SOCIAIS'!Q42</f>
        <v>0.65419000000000005</v>
      </c>
      <c r="U119" s="83"/>
    </row>
    <row r="122" spans="1:21" ht="15.75">
      <c r="C122" s="381" t="str">
        <f>+MENU!$C$35</f>
        <v>2.8. - DESPESAS ADMINISTRATIVAS</v>
      </c>
    </row>
    <row r="124" spans="1:21" ht="15.75">
      <c r="C124" s="381" t="str">
        <f>+MENU!$C$36</f>
        <v>2.8.1 - DESPESAS GERAIS</v>
      </c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</row>
    <row r="125" spans="1:21">
      <c r="C125" s="4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</row>
    <row r="126" spans="1:21" ht="18" customHeight="1">
      <c r="C126" s="694" t="s">
        <v>184</v>
      </c>
      <c r="D126" s="695"/>
      <c r="E126" s="14" t="s">
        <v>6</v>
      </c>
      <c r="F126" s="572">
        <v>1</v>
      </c>
      <c r="G126" s="572">
        <f t="shared" ref="G126:T126" si="37">+F126+1</f>
        <v>2</v>
      </c>
      <c r="H126" s="572">
        <f t="shared" si="37"/>
        <v>3</v>
      </c>
      <c r="I126" s="572">
        <f t="shared" si="37"/>
        <v>4</v>
      </c>
      <c r="J126" s="572">
        <f t="shared" si="37"/>
        <v>5</v>
      </c>
      <c r="K126" s="572">
        <f t="shared" si="37"/>
        <v>6</v>
      </c>
      <c r="L126" s="572">
        <f t="shared" si="37"/>
        <v>7</v>
      </c>
      <c r="M126" s="572">
        <f t="shared" si="37"/>
        <v>8</v>
      </c>
      <c r="N126" s="572">
        <f t="shared" si="37"/>
        <v>9</v>
      </c>
      <c r="O126" s="572">
        <f t="shared" si="37"/>
        <v>10</v>
      </c>
      <c r="P126" s="572">
        <f t="shared" si="37"/>
        <v>11</v>
      </c>
      <c r="Q126" s="572">
        <f t="shared" si="37"/>
        <v>12</v>
      </c>
      <c r="R126" s="572">
        <f t="shared" si="37"/>
        <v>13</v>
      </c>
      <c r="S126" s="572">
        <f t="shared" si="37"/>
        <v>14</v>
      </c>
      <c r="T126" s="573">
        <f t="shared" si="37"/>
        <v>15</v>
      </c>
    </row>
    <row r="127" spans="1:21" ht="31.5" customHeight="1">
      <c r="A127" s="2">
        <v>1</v>
      </c>
      <c r="D127" s="22" t="s">
        <v>307</v>
      </c>
      <c r="E127" s="20" t="s">
        <v>122</v>
      </c>
      <c r="F127" s="623">
        <f>2.2%/12</f>
        <v>1.8333333333333335E-3</v>
      </c>
      <c r="G127" s="260">
        <f>+F127</f>
        <v>1.8333333333333335E-3</v>
      </c>
      <c r="H127" s="260">
        <f t="shared" ref="H127:T127" si="38">+G127</f>
        <v>1.8333333333333335E-3</v>
      </c>
      <c r="I127" s="260">
        <f t="shared" si="38"/>
        <v>1.8333333333333335E-3</v>
      </c>
      <c r="J127" s="260">
        <f t="shared" si="38"/>
        <v>1.8333333333333335E-3</v>
      </c>
      <c r="K127" s="260">
        <f t="shared" si="38"/>
        <v>1.8333333333333335E-3</v>
      </c>
      <c r="L127" s="260">
        <f t="shared" si="38"/>
        <v>1.8333333333333335E-3</v>
      </c>
      <c r="M127" s="260">
        <f t="shared" si="38"/>
        <v>1.8333333333333335E-3</v>
      </c>
      <c r="N127" s="260">
        <f t="shared" si="38"/>
        <v>1.8333333333333335E-3</v>
      </c>
      <c r="O127" s="260">
        <f t="shared" si="38"/>
        <v>1.8333333333333335E-3</v>
      </c>
      <c r="P127" s="260">
        <f t="shared" si="38"/>
        <v>1.8333333333333335E-3</v>
      </c>
      <c r="Q127" s="260">
        <f t="shared" si="38"/>
        <v>1.8333333333333335E-3</v>
      </c>
      <c r="R127" s="260">
        <f t="shared" si="38"/>
        <v>1.8333333333333335E-3</v>
      </c>
      <c r="S127" s="260">
        <f t="shared" si="38"/>
        <v>1.8333333333333335E-3</v>
      </c>
      <c r="T127" s="261">
        <f t="shared" si="38"/>
        <v>1.8333333333333335E-3</v>
      </c>
      <c r="U127" s="83"/>
    </row>
    <row r="129" spans="1:21" ht="15.75">
      <c r="C129" s="381" t="str">
        <f>+MENU!$C$37</f>
        <v>2.8.2 - CUSTEIOS COM PRÓ-LABORE</v>
      </c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</row>
    <row r="130" spans="1:21">
      <c r="C130" s="4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</row>
    <row r="131" spans="1:21" ht="18" customHeight="1">
      <c r="C131" s="694" t="s">
        <v>305</v>
      </c>
      <c r="D131" s="695"/>
      <c r="E131" s="14" t="s">
        <v>6</v>
      </c>
      <c r="F131" s="572">
        <v>1</v>
      </c>
      <c r="G131" s="572">
        <f t="shared" ref="G131:T131" si="39">+F131+1</f>
        <v>2</v>
      </c>
      <c r="H131" s="572">
        <f t="shared" si="39"/>
        <v>3</v>
      </c>
      <c r="I131" s="572">
        <f t="shared" si="39"/>
        <v>4</v>
      </c>
      <c r="J131" s="572">
        <f t="shared" si="39"/>
        <v>5</v>
      </c>
      <c r="K131" s="572">
        <f t="shared" si="39"/>
        <v>6</v>
      </c>
      <c r="L131" s="572">
        <f t="shared" si="39"/>
        <v>7</v>
      </c>
      <c r="M131" s="572">
        <f t="shared" si="39"/>
        <v>8</v>
      </c>
      <c r="N131" s="572">
        <f t="shared" si="39"/>
        <v>9</v>
      </c>
      <c r="O131" s="572">
        <f t="shared" si="39"/>
        <v>10</v>
      </c>
      <c r="P131" s="572">
        <f t="shared" si="39"/>
        <v>11</v>
      </c>
      <c r="Q131" s="572">
        <f t="shared" si="39"/>
        <v>12</v>
      </c>
      <c r="R131" s="572">
        <f t="shared" si="39"/>
        <v>13</v>
      </c>
      <c r="S131" s="572">
        <f t="shared" si="39"/>
        <v>14</v>
      </c>
      <c r="T131" s="573">
        <f t="shared" si="39"/>
        <v>15</v>
      </c>
    </row>
    <row r="132" spans="1:21" ht="31.5" customHeight="1">
      <c r="A132" s="2">
        <v>1</v>
      </c>
      <c r="D132" s="22" t="s">
        <v>199</v>
      </c>
      <c r="E132" s="20" t="s">
        <v>122</v>
      </c>
      <c r="F132" s="635">
        <v>0.1</v>
      </c>
      <c r="G132" s="244">
        <f>+F132</f>
        <v>0.1</v>
      </c>
      <c r="H132" s="244">
        <f t="shared" ref="H132:T132" si="40">+G132</f>
        <v>0.1</v>
      </c>
      <c r="I132" s="244">
        <f t="shared" si="40"/>
        <v>0.1</v>
      </c>
      <c r="J132" s="244">
        <f t="shared" si="40"/>
        <v>0.1</v>
      </c>
      <c r="K132" s="244">
        <f t="shared" si="40"/>
        <v>0.1</v>
      </c>
      <c r="L132" s="244">
        <f t="shared" si="40"/>
        <v>0.1</v>
      </c>
      <c r="M132" s="244">
        <f t="shared" si="40"/>
        <v>0.1</v>
      </c>
      <c r="N132" s="244">
        <f t="shared" si="40"/>
        <v>0.1</v>
      </c>
      <c r="O132" s="244">
        <f t="shared" si="40"/>
        <v>0.1</v>
      </c>
      <c r="P132" s="244">
        <f t="shared" si="40"/>
        <v>0.1</v>
      </c>
      <c r="Q132" s="244">
        <f t="shared" si="40"/>
        <v>0.1</v>
      </c>
      <c r="R132" s="244">
        <f t="shared" si="40"/>
        <v>0.1</v>
      </c>
      <c r="S132" s="244">
        <f t="shared" si="40"/>
        <v>0.1</v>
      </c>
      <c r="T132" s="245">
        <f t="shared" si="40"/>
        <v>0.1</v>
      </c>
      <c r="U132" s="83"/>
    </row>
    <row r="133" spans="1:21">
      <c r="D133" s="258"/>
      <c r="E133" s="36"/>
      <c r="F133" s="259"/>
      <c r="G133" s="259"/>
      <c r="H133" s="259"/>
      <c r="I133" s="259"/>
      <c r="J133" s="259"/>
      <c r="K133" s="259"/>
      <c r="L133" s="259"/>
      <c r="M133" s="259"/>
      <c r="N133" s="259"/>
      <c r="O133" s="259"/>
      <c r="P133" s="259"/>
      <c r="Q133" s="259"/>
      <c r="R133" s="259"/>
      <c r="S133" s="259"/>
      <c r="T133" s="259"/>
      <c r="U133" s="83"/>
    </row>
    <row r="134" spans="1:21" ht="15.75">
      <c r="C134" s="381" t="str">
        <f>+MENU!$C$38</f>
        <v>2.8.3 - REMUNERAÇÃO DO ALMOXARIFADO</v>
      </c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</row>
    <row r="135" spans="1:21">
      <c r="C135" s="4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</row>
    <row r="136" spans="1:21" ht="18" customHeight="1">
      <c r="C136" s="694" t="s">
        <v>306</v>
      </c>
      <c r="D136" s="695"/>
      <c r="E136" s="14" t="s">
        <v>6</v>
      </c>
      <c r="F136" s="572">
        <v>1</v>
      </c>
      <c r="G136" s="572">
        <f t="shared" ref="G136:T136" si="41">+F136+1</f>
        <v>2</v>
      </c>
      <c r="H136" s="572">
        <f t="shared" si="41"/>
        <v>3</v>
      </c>
      <c r="I136" s="572">
        <f t="shared" si="41"/>
        <v>4</v>
      </c>
      <c r="J136" s="572">
        <f t="shared" si="41"/>
        <v>5</v>
      </c>
      <c r="K136" s="572">
        <f t="shared" si="41"/>
        <v>6</v>
      </c>
      <c r="L136" s="572">
        <f t="shared" si="41"/>
        <v>7</v>
      </c>
      <c r="M136" s="572">
        <f t="shared" si="41"/>
        <v>8</v>
      </c>
      <c r="N136" s="572">
        <f t="shared" si="41"/>
        <v>9</v>
      </c>
      <c r="O136" s="572">
        <f t="shared" si="41"/>
        <v>10</v>
      </c>
      <c r="P136" s="572">
        <f t="shared" si="41"/>
        <v>11</v>
      </c>
      <c r="Q136" s="572">
        <f t="shared" si="41"/>
        <v>12</v>
      </c>
      <c r="R136" s="572">
        <f t="shared" si="41"/>
        <v>13</v>
      </c>
      <c r="S136" s="572">
        <f t="shared" si="41"/>
        <v>14</v>
      </c>
      <c r="T136" s="573">
        <f t="shared" si="41"/>
        <v>15</v>
      </c>
    </row>
    <row r="137" spans="1:21" ht="31.5" customHeight="1">
      <c r="A137" s="2">
        <v>1</v>
      </c>
      <c r="D137" s="22" t="s">
        <v>523</v>
      </c>
      <c r="E137" s="20" t="s">
        <v>122</v>
      </c>
      <c r="F137" s="623">
        <v>2.9999999999999997E-4</v>
      </c>
      <c r="G137" s="260">
        <f>+F137</f>
        <v>2.9999999999999997E-4</v>
      </c>
      <c r="H137" s="260">
        <f t="shared" ref="H137:T137" si="42">+G137</f>
        <v>2.9999999999999997E-4</v>
      </c>
      <c r="I137" s="260">
        <f t="shared" si="42"/>
        <v>2.9999999999999997E-4</v>
      </c>
      <c r="J137" s="260">
        <f t="shared" si="42"/>
        <v>2.9999999999999997E-4</v>
      </c>
      <c r="K137" s="260">
        <f t="shared" si="42"/>
        <v>2.9999999999999997E-4</v>
      </c>
      <c r="L137" s="260">
        <f t="shared" si="42"/>
        <v>2.9999999999999997E-4</v>
      </c>
      <c r="M137" s="260">
        <f t="shared" si="42"/>
        <v>2.9999999999999997E-4</v>
      </c>
      <c r="N137" s="260">
        <f t="shared" si="42"/>
        <v>2.9999999999999997E-4</v>
      </c>
      <c r="O137" s="260">
        <f t="shared" si="42"/>
        <v>2.9999999999999997E-4</v>
      </c>
      <c r="P137" s="260">
        <f t="shared" si="42"/>
        <v>2.9999999999999997E-4</v>
      </c>
      <c r="Q137" s="260">
        <f t="shared" si="42"/>
        <v>2.9999999999999997E-4</v>
      </c>
      <c r="R137" s="260">
        <f t="shared" si="42"/>
        <v>2.9999999999999997E-4</v>
      </c>
      <c r="S137" s="260">
        <f t="shared" si="42"/>
        <v>2.9999999999999997E-4</v>
      </c>
      <c r="T137" s="261">
        <f t="shared" si="42"/>
        <v>2.9999999999999997E-4</v>
      </c>
      <c r="U137" s="83"/>
    </row>
    <row r="140" spans="1:21">
      <c r="F140" s="125"/>
    </row>
  </sheetData>
  <mergeCells count="17">
    <mergeCell ref="C102:D102"/>
    <mergeCell ref="C118:D118"/>
    <mergeCell ref="C126:D126"/>
    <mergeCell ref="C136:D136"/>
    <mergeCell ref="C131:D131"/>
    <mergeCell ref="C13:D13"/>
    <mergeCell ref="C26:D26"/>
    <mergeCell ref="C34:D34"/>
    <mergeCell ref="C48:D48"/>
    <mergeCell ref="C64:D64"/>
    <mergeCell ref="C41:D41"/>
    <mergeCell ref="C81:D81"/>
    <mergeCell ref="C108:D108"/>
    <mergeCell ref="C20:D20"/>
    <mergeCell ref="C71:D71"/>
    <mergeCell ref="C88:D88"/>
    <mergeCell ref="C96:D96"/>
  </mergeCells>
  <pageMargins left="0.51181102362204722" right="0.51181102362204722" top="0.78740157480314965" bottom="0.78740157480314965" header="0.31496062992125984" footer="0.31496062992125984"/>
  <pageSetup paperSize="9" scale="71" fitToHeight="4" orientation="landscape" verticalDpi="300" r:id="rId1"/>
  <rowBreaks count="3" manualBreakCount="3">
    <brk id="38" min="1" max="19" man="1"/>
    <brk id="76" min="1" max="19" man="1"/>
    <brk id="115" min="1" max="19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U201"/>
  <sheetViews>
    <sheetView showGridLines="0" view="pageBreakPreview" zoomScaleNormal="100" zoomScaleSheetLayoutView="100" workbookViewId="0">
      <selection activeCell="C11" sqref="C11:U13"/>
    </sheetView>
  </sheetViews>
  <sheetFormatPr defaultRowHeight="12.75"/>
  <cols>
    <col min="1" max="1" width="1.140625" style="2" customWidth="1"/>
    <col min="2" max="2" width="2.42578125" style="2" customWidth="1"/>
    <col min="3" max="3" width="2.85546875" style="2" customWidth="1"/>
    <col min="4" max="4" width="14" style="2" customWidth="1"/>
    <col min="5" max="5" width="14.7109375" style="2" customWidth="1"/>
    <col min="6" max="6" width="13.42578125" style="5" customWidth="1"/>
    <col min="7" max="20" width="9.5703125" style="2" customWidth="1"/>
    <col min="21" max="21" width="9.5703125" style="1" customWidth="1"/>
    <col min="22" max="16384" width="9.140625" style="2"/>
  </cols>
  <sheetData>
    <row r="1" spans="2:21">
      <c r="B1" s="1"/>
      <c r="C1" s="1"/>
      <c r="D1" s="1"/>
      <c r="E1" s="1"/>
      <c r="F1" s="3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2:21" ht="15">
      <c r="B2" s="1"/>
      <c r="C2" s="1"/>
      <c r="D2" s="1"/>
      <c r="E2" s="1"/>
      <c r="F2" s="403" t="s">
        <v>365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2:21" ht="15">
      <c r="B3" s="1"/>
      <c r="C3" s="1"/>
      <c r="D3" s="1"/>
      <c r="E3" s="1"/>
      <c r="F3" s="403" t="str">
        <f>MENU!$B$3&amp;"  -  "&amp;+MENU!$B$4</f>
        <v xml:space="preserve">CONCORRÊNCIA Nº 003/18  -  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1" ht="15">
      <c r="B4" s="1"/>
      <c r="C4" s="1"/>
      <c r="D4" s="1"/>
      <c r="E4" s="1"/>
      <c r="F4" s="403" t="str">
        <f>+MENU!$C$2</f>
        <v>ESTUDO TÉCNICO DE VIABILIDADE ECONÔMICA DA OPERAÇÃO DO SERVIÇO DE TRANSPORTE COLETIVO DA CIDADE DE AMPARO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2:21" ht="15.75" thickBot="1">
      <c r="B5" s="3"/>
      <c r="C5" s="3"/>
      <c r="D5" s="3"/>
      <c r="E5" s="3"/>
      <c r="F5" s="420" t="str">
        <f>+MENU!$C$3</f>
        <v>ANEXO IV.1 - ESTUDO TÉCNICO DE VIABILIDADE ECONÔMICA - ORÇAMENTO ESTIMADO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7" t="str">
        <f>+MENU!$C$5</f>
        <v>DATA BASE DE CÁLCULO: MARÇO 2020</v>
      </c>
    </row>
    <row r="7" spans="2:21" ht="15.75">
      <c r="B7" s="381" t="str">
        <f>+MENU!$C$39</f>
        <v>3. - PREÇOS DE INSUMOS, SALÁRIOS E BENEFÍCIOS</v>
      </c>
    </row>
    <row r="9" spans="2:21" ht="15.75">
      <c r="C9" s="381" t="str">
        <f>+MENU!$C$40</f>
        <v>3.1. - PREÇOS DE COMBUSTÍVEIS</v>
      </c>
    </row>
    <row r="10" spans="2:21">
      <c r="C10" s="4"/>
    </row>
    <row r="11" spans="2:21" ht="18" customHeight="1">
      <c r="C11" s="694" t="s">
        <v>27</v>
      </c>
      <c r="D11" s="694"/>
      <c r="E11" s="695"/>
      <c r="F11" s="14" t="s">
        <v>6</v>
      </c>
      <c r="G11" s="574">
        <v>1</v>
      </c>
      <c r="H11" s="575">
        <f t="shared" ref="H11:U11" si="0">+G11+1</f>
        <v>2</v>
      </c>
      <c r="I11" s="576">
        <f t="shared" si="0"/>
        <v>3</v>
      </c>
      <c r="J11" s="576">
        <f t="shared" si="0"/>
        <v>4</v>
      </c>
      <c r="K11" s="576">
        <f t="shared" si="0"/>
        <v>5</v>
      </c>
      <c r="L11" s="576">
        <f t="shared" si="0"/>
        <v>6</v>
      </c>
      <c r="M11" s="576">
        <f t="shared" si="0"/>
        <v>7</v>
      </c>
      <c r="N11" s="576">
        <f t="shared" si="0"/>
        <v>8</v>
      </c>
      <c r="O11" s="576">
        <f t="shared" si="0"/>
        <v>9</v>
      </c>
      <c r="P11" s="576">
        <f t="shared" si="0"/>
        <v>10</v>
      </c>
      <c r="Q11" s="576">
        <f t="shared" si="0"/>
        <v>11</v>
      </c>
      <c r="R11" s="576">
        <f t="shared" si="0"/>
        <v>12</v>
      </c>
      <c r="S11" s="576">
        <f t="shared" si="0"/>
        <v>13</v>
      </c>
      <c r="T11" s="576">
        <f t="shared" si="0"/>
        <v>14</v>
      </c>
      <c r="U11" s="574">
        <f t="shared" si="0"/>
        <v>15</v>
      </c>
    </row>
    <row r="12" spans="2:21" ht="15" customHeight="1">
      <c r="D12" s="699" t="s">
        <v>3</v>
      </c>
      <c r="E12" s="700"/>
      <c r="F12" s="10" t="s">
        <v>5</v>
      </c>
      <c r="G12" s="617">
        <v>2.6589999999999998</v>
      </c>
      <c r="H12" s="12">
        <f>+G12</f>
        <v>2.6589999999999998</v>
      </c>
      <c r="I12" s="13">
        <f t="shared" ref="I12:U13" si="1">+H12</f>
        <v>2.6589999999999998</v>
      </c>
      <c r="J12" s="13">
        <f t="shared" si="1"/>
        <v>2.6589999999999998</v>
      </c>
      <c r="K12" s="13">
        <f t="shared" si="1"/>
        <v>2.6589999999999998</v>
      </c>
      <c r="L12" s="13">
        <f t="shared" si="1"/>
        <v>2.6589999999999998</v>
      </c>
      <c r="M12" s="13">
        <f t="shared" si="1"/>
        <v>2.6589999999999998</v>
      </c>
      <c r="N12" s="13">
        <f t="shared" si="1"/>
        <v>2.6589999999999998</v>
      </c>
      <c r="O12" s="13">
        <f t="shared" si="1"/>
        <v>2.6589999999999998</v>
      </c>
      <c r="P12" s="13">
        <f t="shared" si="1"/>
        <v>2.6589999999999998</v>
      </c>
      <c r="Q12" s="13">
        <f t="shared" si="1"/>
        <v>2.6589999999999998</v>
      </c>
      <c r="R12" s="13">
        <f t="shared" si="1"/>
        <v>2.6589999999999998</v>
      </c>
      <c r="S12" s="13">
        <f t="shared" si="1"/>
        <v>2.6589999999999998</v>
      </c>
      <c r="T12" s="13">
        <f t="shared" si="1"/>
        <v>2.6589999999999998</v>
      </c>
      <c r="U12" s="11">
        <f t="shared" si="1"/>
        <v>2.6589999999999998</v>
      </c>
    </row>
    <row r="13" spans="2:21" ht="15" customHeight="1">
      <c r="D13" s="701" t="s">
        <v>4</v>
      </c>
      <c r="E13" s="702"/>
      <c r="F13" s="9" t="s">
        <v>5</v>
      </c>
      <c r="G13" s="618">
        <v>1.2</v>
      </c>
      <c r="H13" s="7">
        <f>+G13</f>
        <v>1.2</v>
      </c>
      <c r="I13" s="7">
        <f t="shared" si="1"/>
        <v>1.2</v>
      </c>
      <c r="J13" s="7">
        <f t="shared" si="1"/>
        <v>1.2</v>
      </c>
      <c r="K13" s="7">
        <f t="shared" si="1"/>
        <v>1.2</v>
      </c>
      <c r="L13" s="7">
        <f t="shared" si="1"/>
        <v>1.2</v>
      </c>
      <c r="M13" s="7">
        <f t="shared" si="1"/>
        <v>1.2</v>
      </c>
      <c r="N13" s="7">
        <f t="shared" si="1"/>
        <v>1.2</v>
      </c>
      <c r="O13" s="7">
        <f t="shared" si="1"/>
        <v>1.2</v>
      </c>
      <c r="P13" s="7">
        <f t="shared" si="1"/>
        <v>1.2</v>
      </c>
      <c r="Q13" s="7">
        <f t="shared" si="1"/>
        <v>1.2</v>
      </c>
      <c r="R13" s="7">
        <f t="shared" si="1"/>
        <v>1.2</v>
      </c>
      <c r="S13" s="7">
        <f t="shared" si="1"/>
        <v>1.2</v>
      </c>
      <c r="T13" s="7">
        <f t="shared" si="1"/>
        <v>1.2</v>
      </c>
      <c r="U13" s="8">
        <f t="shared" si="1"/>
        <v>1.2</v>
      </c>
    </row>
    <row r="16" spans="2:21" ht="15.75">
      <c r="C16" s="381" t="str">
        <f>+MENU!$C$41</f>
        <v>3.2. - PREÇO DE LUBRIFICANTES</v>
      </c>
    </row>
    <row r="17" spans="1:21">
      <c r="C17" s="4"/>
    </row>
    <row r="18" spans="1:21" ht="18" customHeight="1">
      <c r="C18" s="694" t="s">
        <v>28</v>
      </c>
      <c r="D18" s="694"/>
      <c r="E18" s="695"/>
      <c r="F18" s="14" t="s">
        <v>6</v>
      </c>
      <c r="G18" s="572">
        <v>1</v>
      </c>
      <c r="H18" s="572">
        <f t="shared" ref="H18:U18" si="2">+G18+1</f>
        <v>2</v>
      </c>
      <c r="I18" s="572">
        <f t="shared" si="2"/>
        <v>3</v>
      </c>
      <c r="J18" s="572">
        <f t="shared" si="2"/>
        <v>4</v>
      </c>
      <c r="K18" s="572">
        <f t="shared" si="2"/>
        <v>5</v>
      </c>
      <c r="L18" s="572">
        <f t="shared" si="2"/>
        <v>6</v>
      </c>
      <c r="M18" s="572">
        <f t="shared" si="2"/>
        <v>7</v>
      </c>
      <c r="N18" s="572">
        <f t="shared" si="2"/>
        <v>8</v>
      </c>
      <c r="O18" s="572">
        <f t="shared" si="2"/>
        <v>9</v>
      </c>
      <c r="P18" s="572">
        <f t="shared" si="2"/>
        <v>10</v>
      </c>
      <c r="Q18" s="572">
        <f t="shared" si="2"/>
        <v>11</v>
      </c>
      <c r="R18" s="572">
        <f t="shared" si="2"/>
        <v>12</v>
      </c>
      <c r="S18" s="572">
        <f t="shared" si="2"/>
        <v>13</v>
      </c>
      <c r="T18" s="572">
        <f t="shared" si="2"/>
        <v>14</v>
      </c>
      <c r="U18" s="573">
        <f t="shared" si="2"/>
        <v>15</v>
      </c>
    </row>
    <row r="19" spans="1:21">
      <c r="D19" s="24" t="s">
        <v>39</v>
      </c>
      <c r="E19" s="24"/>
      <c r="F19" s="25" t="s">
        <v>5</v>
      </c>
      <c r="G19" s="638">
        <f>ROUND('2. COEFICIENTES'!F27*G12,4)</f>
        <v>0.1197</v>
      </c>
      <c r="H19" s="26">
        <f>ROUND('2. COEFICIENTES'!G27*H12,4)</f>
        <v>0.1197</v>
      </c>
      <c r="I19" s="26">
        <f>ROUND('2. COEFICIENTES'!H27*I12,4)</f>
        <v>0.1197</v>
      </c>
      <c r="J19" s="26">
        <f>ROUND('2. COEFICIENTES'!I27*J12,4)</f>
        <v>0.1197</v>
      </c>
      <c r="K19" s="26">
        <f>ROUND('2. COEFICIENTES'!J27*K12,4)</f>
        <v>0.1197</v>
      </c>
      <c r="L19" s="26">
        <f>ROUND('2. COEFICIENTES'!K27*L12,4)</f>
        <v>0.1197</v>
      </c>
      <c r="M19" s="26">
        <f>ROUND('2. COEFICIENTES'!L27*M12,4)</f>
        <v>0.1197</v>
      </c>
      <c r="N19" s="26">
        <f>ROUND('2. COEFICIENTES'!M27*N12,4)</f>
        <v>0.1197</v>
      </c>
      <c r="O19" s="26">
        <f>ROUND('2. COEFICIENTES'!N27*O12,4)</f>
        <v>0.1197</v>
      </c>
      <c r="P19" s="26">
        <f>ROUND('2. COEFICIENTES'!O27*P12,4)</f>
        <v>0.1197</v>
      </c>
      <c r="Q19" s="26">
        <f>ROUND('2. COEFICIENTES'!P27*Q12,4)</f>
        <v>0.1197</v>
      </c>
      <c r="R19" s="26">
        <f>ROUND('2. COEFICIENTES'!Q27*R12,4)</f>
        <v>0.1197</v>
      </c>
      <c r="S19" s="26">
        <f>ROUND('2. COEFICIENTES'!R27*S12,4)</f>
        <v>0.1197</v>
      </c>
      <c r="T19" s="26">
        <f>ROUND('2. COEFICIENTES'!S27*T12,4)</f>
        <v>0.1197</v>
      </c>
      <c r="U19" s="27">
        <f>ROUND('2. COEFICIENTES'!T27*U12,4)</f>
        <v>0.1197</v>
      </c>
    </row>
    <row r="22" spans="1:21" ht="15.75">
      <c r="C22" s="381" t="str">
        <f>+MENU!$C$42</f>
        <v>3.3. - PREÇOS DE MATERIAL DE RODAGEM</v>
      </c>
    </row>
    <row r="24" spans="1:21" ht="15.75">
      <c r="C24" s="381" t="str">
        <f>+MENU!$C$43</f>
        <v>3.3.1. - PREÇOS DE PNEU NOVO</v>
      </c>
    </row>
    <row r="25" spans="1:21">
      <c r="C25" s="4"/>
    </row>
    <row r="26" spans="1:21" ht="18" customHeight="1">
      <c r="C26" s="694" t="s">
        <v>73</v>
      </c>
      <c r="D26" s="694"/>
      <c r="E26" s="695"/>
      <c r="F26" s="14" t="s">
        <v>6</v>
      </c>
      <c r="G26" s="572">
        <v>1</v>
      </c>
      <c r="H26" s="572">
        <f t="shared" ref="H26:U26" si="3">+G26+1</f>
        <v>2</v>
      </c>
      <c r="I26" s="572">
        <f t="shared" si="3"/>
        <v>3</v>
      </c>
      <c r="J26" s="572">
        <f t="shared" si="3"/>
        <v>4</v>
      </c>
      <c r="K26" s="572">
        <f t="shared" si="3"/>
        <v>5</v>
      </c>
      <c r="L26" s="572">
        <f t="shared" si="3"/>
        <v>6</v>
      </c>
      <c r="M26" s="572">
        <f t="shared" si="3"/>
        <v>7</v>
      </c>
      <c r="N26" s="572">
        <f t="shared" si="3"/>
        <v>8</v>
      </c>
      <c r="O26" s="572">
        <f t="shared" si="3"/>
        <v>9</v>
      </c>
      <c r="P26" s="572">
        <f t="shared" si="3"/>
        <v>10</v>
      </c>
      <c r="Q26" s="572">
        <f t="shared" si="3"/>
        <v>11</v>
      </c>
      <c r="R26" s="572">
        <f t="shared" si="3"/>
        <v>12</v>
      </c>
      <c r="S26" s="572">
        <f t="shared" si="3"/>
        <v>13</v>
      </c>
      <c r="T26" s="572">
        <f t="shared" si="3"/>
        <v>14</v>
      </c>
      <c r="U26" s="573">
        <f t="shared" si="3"/>
        <v>15</v>
      </c>
    </row>
    <row r="27" spans="1:21">
      <c r="A27" s="2">
        <v>1</v>
      </c>
      <c r="D27" s="238" t="str">
        <f>VLOOKUP(A27,TIPOLOGIA!$D$10:$E$12,2,0)</f>
        <v>MICROÔNIBUS</v>
      </c>
      <c r="E27" s="239"/>
      <c r="F27" s="16" t="s">
        <v>24</v>
      </c>
      <c r="G27" s="619">
        <v>512.55999999999995</v>
      </c>
      <c r="H27" s="51">
        <f>G27</f>
        <v>512.55999999999995</v>
      </c>
      <c r="I27" s="51">
        <f t="shared" ref="I27:T27" si="4">H27</f>
        <v>512.55999999999995</v>
      </c>
      <c r="J27" s="51">
        <f t="shared" si="4"/>
        <v>512.55999999999995</v>
      </c>
      <c r="K27" s="51">
        <f t="shared" si="4"/>
        <v>512.55999999999995</v>
      </c>
      <c r="L27" s="51">
        <f t="shared" si="4"/>
        <v>512.55999999999995</v>
      </c>
      <c r="M27" s="51">
        <f t="shared" si="4"/>
        <v>512.55999999999995</v>
      </c>
      <c r="N27" s="51">
        <f t="shared" si="4"/>
        <v>512.55999999999995</v>
      </c>
      <c r="O27" s="51">
        <f t="shared" si="4"/>
        <v>512.55999999999995</v>
      </c>
      <c r="P27" s="51">
        <f t="shared" si="4"/>
        <v>512.55999999999995</v>
      </c>
      <c r="Q27" s="51">
        <f t="shared" si="4"/>
        <v>512.55999999999995</v>
      </c>
      <c r="R27" s="51">
        <f t="shared" si="4"/>
        <v>512.55999999999995</v>
      </c>
      <c r="S27" s="51">
        <f t="shared" si="4"/>
        <v>512.55999999999995</v>
      </c>
      <c r="T27" s="51">
        <f t="shared" si="4"/>
        <v>512.55999999999995</v>
      </c>
      <c r="U27" s="52">
        <f>T27</f>
        <v>512.55999999999995</v>
      </c>
    </row>
    <row r="28" spans="1:21">
      <c r="A28" s="2">
        <v>2</v>
      </c>
      <c r="D28" s="217" t="str">
        <f>VLOOKUP(A28,TIPOLOGIA!$D$10:$E$12,2,0)</f>
        <v>CONVENCIONAL</v>
      </c>
      <c r="E28" s="17"/>
      <c r="F28" s="18" t="str">
        <f>+F27</f>
        <v>(R$/un.)</v>
      </c>
      <c r="G28" s="620">
        <v>1252.1500000000001</v>
      </c>
      <c r="H28" s="53">
        <f>G28</f>
        <v>1252.1500000000001</v>
      </c>
      <c r="I28" s="53">
        <f t="shared" ref="I28:T28" si="5">H28</f>
        <v>1252.1500000000001</v>
      </c>
      <c r="J28" s="53">
        <f t="shared" si="5"/>
        <v>1252.1500000000001</v>
      </c>
      <c r="K28" s="53">
        <f t="shared" si="5"/>
        <v>1252.1500000000001</v>
      </c>
      <c r="L28" s="53">
        <f t="shared" si="5"/>
        <v>1252.1500000000001</v>
      </c>
      <c r="M28" s="53">
        <f t="shared" si="5"/>
        <v>1252.1500000000001</v>
      </c>
      <c r="N28" s="53">
        <f t="shared" si="5"/>
        <v>1252.1500000000001</v>
      </c>
      <c r="O28" s="53">
        <f t="shared" si="5"/>
        <v>1252.1500000000001</v>
      </c>
      <c r="P28" s="53">
        <f t="shared" si="5"/>
        <v>1252.1500000000001</v>
      </c>
      <c r="Q28" s="53">
        <f t="shared" si="5"/>
        <v>1252.1500000000001</v>
      </c>
      <c r="R28" s="53">
        <f t="shared" si="5"/>
        <v>1252.1500000000001</v>
      </c>
      <c r="S28" s="53">
        <f t="shared" si="5"/>
        <v>1252.1500000000001</v>
      </c>
      <c r="T28" s="53">
        <f t="shared" si="5"/>
        <v>1252.1500000000001</v>
      </c>
      <c r="U28" s="54">
        <f>T28</f>
        <v>1252.1500000000001</v>
      </c>
    </row>
    <row r="29" spans="1:21">
      <c r="A29" s="2">
        <v>3</v>
      </c>
      <c r="D29" s="202" t="str">
        <f>VLOOKUP(A29,TIPOLOGIA!$D$10:$E$12,2,0)</f>
        <v>-</v>
      </c>
      <c r="E29" s="24"/>
      <c r="F29" s="25" t="str">
        <f>+F28</f>
        <v>(R$/un.)</v>
      </c>
      <c r="G29" s="621">
        <v>0</v>
      </c>
      <c r="H29" s="55">
        <f>G29</f>
        <v>0</v>
      </c>
      <c r="I29" s="55">
        <f t="shared" ref="I29:T29" si="6">H29</f>
        <v>0</v>
      </c>
      <c r="J29" s="55">
        <f t="shared" si="6"/>
        <v>0</v>
      </c>
      <c r="K29" s="55">
        <f t="shared" si="6"/>
        <v>0</v>
      </c>
      <c r="L29" s="55">
        <f t="shared" si="6"/>
        <v>0</v>
      </c>
      <c r="M29" s="55">
        <f t="shared" si="6"/>
        <v>0</v>
      </c>
      <c r="N29" s="55">
        <f t="shared" si="6"/>
        <v>0</v>
      </c>
      <c r="O29" s="55">
        <f t="shared" si="6"/>
        <v>0</v>
      </c>
      <c r="P29" s="55">
        <f t="shared" si="6"/>
        <v>0</v>
      </c>
      <c r="Q29" s="55">
        <f t="shared" si="6"/>
        <v>0</v>
      </c>
      <c r="R29" s="55">
        <f t="shared" si="6"/>
        <v>0</v>
      </c>
      <c r="S29" s="55">
        <f t="shared" si="6"/>
        <v>0</v>
      </c>
      <c r="T29" s="55">
        <f t="shared" si="6"/>
        <v>0</v>
      </c>
      <c r="U29" s="56">
        <f>T29</f>
        <v>0</v>
      </c>
    </row>
    <row r="31" spans="1:21" ht="15.75">
      <c r="C31" s="381" t="str">
        <f>+MENU!$C$44</f>
        <v>3.3.2. - PREÇOS DE RECAPAGEM</v>
      </c>
    </row>
    <row r="32" spans="1:21">
      <c r="C32" s="4"/>
    </row>
    <row r="33" spans="1:21" ht="18" customHeight="1">
      <c r="C33" s="694" t="s">
        <v>74</v>
      </c>
      <c r="D33" s="694"/>
      <c r="E33" s="695"/>
      <c r="F33" s="14" t="s">
        <v>6</v>
      </c>
      <c r="G33" s="572">
        <v>1</v>
      </c>
      <c r="H33" s="572">
        <f t="shared" ref="H33:U33" si="7">+G33+1</f>
        <v>2</v>
      </c>
      <c r="I33" s="572">
        <f t="shared" si="7"/>
        <v>3</v>
      </c>
      <c r="J33" s="572">
        <f t="shared" si="7"/>
        <v>4</v>
      </c>
      <c r="K33" s="572">
        <f t="shared" si="7"/>
        <v>5</v>
      </c>
      <c r="L33" s="572">
        <f t="shared" si="7"/>
        <v>6</v>
      </c>
      <c r="M33" s="572">
        <f t="shared" si="7"/>
        <v>7</v>
      </c>
      <c r="N33" s="572">
        <f t="shared" si="7"/>
        <v>8</v>
      </c>
      <c r="O33" s="572">
        <f t="shared" si="7"/>
        <v>9</v>
      </c>
      <c r="P33" s="572">
        <f t="shared" si="7"/>
        <v>10</v>
      </c>
      <c r="Q33" s="572">
        <f t="shared" si="7"/>
        <v>11</v>
      </c>
      <c r="R33" s="572">
        <f t="shared" si="7"/>
        <v>12</v>
      </c>
      <c r="S33" s="572">
        <f t="shared" si="7"/>
        <v>13</v>
      </c>
      <c r="T33" s="572">
        <f t="shared" si="7"/>
        <v>14</v>
      </c>
      <c r="U33" s="573">
        <f t="shared" si="7"/>
        <v>15</v>
      </c>
    </row>
    <row r="34" spans="1:21">
      <c r="A34" s="2">
        <v>1</v>
      </c>
      <c r="D34" s="238" t="str">
        <f>VLOOKUP(A34,TIPOLOGIA!$D$10:$E$12,2,0)</f>
        <v>MICROÔNIBUS</v>
      </c>
      <c r="E34" s="239"/>
      <c r="F34" s="16" t="s">
        <v>24</v>
      </c>
      <c r="G34" s="619">
        <v>298</v>
      </c>
      <c r="H34" s="51">
        <f>G34</f>
        <v>298</v>
      </c>
      <c r="I34" s="51">
        <f t="shared" ref="I34:T34" si="8">H34</f>
        <v>298</v>
      </c>
      <c r="J34" s="51">
        <f t="shared" si="8"/>
        <v>298</v>
      </c>
      <c r="K34" s="51">
        <f t="shared" si="8"/>
        <v>298</v>
      </c>
      <c r="L34" s="51">
        <f t="shared" si="8"/>
        <v>298</v>
      </c>
      <c r="M34" s="51">
        <f t="shared" si="8"/>
        <v>298</v>
      </c>
      <c r="N34" s="51">
        <f t="shared" si="8"/>
        <v>298</v>
      </c>
      <c r="O34" s="51">
        <f t="shared" si="8"/>
        <v>298</v>
      </c>
      <c r="P34" s="51">
        <f t="shared" si="8"/>
        <v>298</v>
      </c>
      <c r="Q34" s="51">
        <f t="shared" si="8"/>
        <v>298</v>
      </c>
      <c r="R34" s="51">
        <f t="shared" si="8"/>
        <v>298</v>
      </c>
      <c r="S34" s="51">
        <f t="shared" si="8"/>
        <v>298</v>
      </c>
      <c r="T34" s="51">
        <f t="shared" si="8"/>
        <v>298</v>
      </c>
      <c r="U34" s="52">
        <f>T34</f>
        <v>298</v>
      </c>
    </row>
    <row r="35" spans="1:21">
      <c r="A35" s="2">
        <v>2</v>
      </c>
      <c r="D35" s="216" t="str">
        <f>VLOOKUP(A35,TIPOLOGIA!$D$10:$E$12,2,0)</f>
        <v>CONVENCIONAL</v>
      </c>
      <c r="E35" s="15"/>
      <c r="F35" s="16" t="s">
        <v>24</v>
      </c>
      <c r="G35" s="620">
        <v>457</v>
      </c>
      <c r="H35" s="53">
        <f>G35</f>
        <v>457</v>
      </c>
      <c r="I35" s="53">
        <f t="shared" ref="I35:T35" si="9">H35</f>
        <v>457</v>
      </c>
      <c r="J35" s="53">
        <f t="shared" si="9"/>
        <v>457</v>
      </c>
      <c r="K35" s="53">
        <f t="shared" si="9"/>
        <v>457</v>
      </c>
      <c r="L35" s="53">
        <f t="shared" si="9"/>
        <v>457</v>
      </c>
      <c r="M35" s="53">
        <f t="shared" si="9"/>
        <v>457</v>
      </c>
      <c r="N35" s="53">
        <f t="shared" si="9"/>
        <v>457</v>
      </c>
      <c r="O35" s="53">
        <f t="shared" si="9"/>
        <v>457</v>
      </c>
      <c r="P35" s="53">
        <f t="shared" si="9"/>
        <v>457</v>
      </c>
      <c r="Q35" s="53">
        <f t="shared" si="9"/>
        <v>457</v>
      </c>
      <c r="R35" s="53">
        <f t="shared" si="9"/>
        <v>457</v>
      </c>
      <c r="S35" s="53">
        <f t="shared" si="9"/>
        <v>457</v>
      </c>
      <c r="T35" s="53">
        <f t="shared" si="9"/>
        <v>457</v>
      </c>
      <c r="U35" s="54">
        <f>T35</f>
        <v>457</v>
      </c>
    </row>
    <row r="36" spans="1:21">
      <c r="A36" s="2">
        <v>3</v>
      </c>
      <c r="D36" s="240" t="str">
        <f>VLOOKUP(A36,TIPOLOGIA!$D$10:$E$12,2,0)</f>
        <v>-</v>
      </c>
      <c r="E36" s="241"/>
      <c r="F36" s="16" t="s">
        <v>24</v>
      </c>
      <c r="G36" s="621">
        <v>0</v>
      </c>
      <c r="H36" s="55">
        <f>G36</f>
        <v>0</v>
      </c>
      <c r="I36" s="55">
        <f t="shared" ref="I36:T36" si="10">H36</f>
        <v>0</v>
      </c>
      <c r="J36" s="55">
        <f t="shared" si="10"/>
        <v>0</v>
      </c>
      <c r="K36" s="55">
        <f t="shared" si="10"/>
        <v>0</v>
      </c>
      <c r="L36" s="55">
        <f t="shared" si="10"/>
        <v>0</v>
      </c>
      <c r="M36" s="55">
        <f t="shared" si="10"/>
        <v>0</v>
      </c>
      <c r="N36" s="55">
        <f t="shared" si="10"/>
        <v>0</v>
      </c>
      <c r="O36" s="55">
        <f t="shared" si="10"/>
        <v>0</v>
      </c>
      <c r="P36" s="55">
        <f t="shared" si="10"/>
        <v>0</v>
      </c>
      <c r="Q36" s="55">
        <f t="shared" si="10"/>
        <v>0</v>
      </c>
      <c r="R36" s="55">
        <f t="shared" si="10"/>
        <v>0</v>
      </c>
      <c r="S36" s="55">
        <f t="shared" si="10"/>
        <v>0</v>
      </c>
      <c r="T36" s="55">
        <f t="shared" si="10"/>
        <v>0</v>
      </c>
      <c r="U36" s="56">
        <f>T36</f>
        <v>0</v>
      </c>
    </row>
    <row r="39" spans="1:21" ht="15.75">
      <c r="C39" s="381" t="str">
        <f>+MENU!$C$45</f>
        <v>3.4. - PREÇOS DE VEÍCULOS</v>
      </c>
    </row>
    <row r="41" spans="1:21" ht="15.75">
      <c r="C41" s="381" t="str">
        <f>+MENU!$C$46</f>
        <v>3.4.1. - PREÇO DE VEÍCULO NOVO COMPLETO COM RODAGEM</v>
      </c>
    </row>
    <row r="42" spans="1:21">
      <c r="C42" s="4"/>
    </row>
    <row r="43" spans="1:21" ht="18" customHeight="1">
      <c r="C43" s="703" t="s">
        <v>29</v>
      </c>
      <c r="D43" s="703"/>
      <c r="E43" s="704"/>
      <c r="F43" s="14" t="s">
        <v>6</v>
      </c>
      <c r="G43" s="572">
        <v>1</v>
      </c>
      <c r="H43" s="572">
        <f t="shared" ref="H43:U43" si="11">+G43+1</f>
        <v>2</v>
      </c>
      <c r="I43" s="572">
        <f t="shared" si="11"/>
        <v>3</v>
      </c>
      <c r="J43" s="572">
        <f t="shared" si="11"/>
        <v>4</v>
      </c>
      <c r="K43" s="572">
        <f t="shared" si="11"/>
        <v>5</v>
      </c>
      <c r="L43" s="572">
        <f t="shared" si="11"/>
        <v>6</v>
      </c>
      <c r="M43" s="572">
        <f t="shared" si="11"/>
        <v>7</v>
      </c>
      <c r="N43" s="572">
        <f t="shared" si="11"/>
        <v>8</v>
      </c>
      <c r="O43" s="572">
        <f t="shared" si="11"/>
        <v>9</v>
      </c>
      <c r="P43" s="572">
        <f t="shared" si="11"/>
        <v>10</v>
      </c>
      <c r="Q43" s="572">
        <f t="shared" si="11"/>
        <v>11</v>
      </c>
      <c r="R43" s="572">
        <f t="shared" si="11"/>
        <v>12</v>
      </c>
      <c r="S43" s="572">
        <f t="shared" si="11"/>
        <v>13</v>
      </c>
      <c r="T43" s="572">
        <f t="shared" si="11"/>
        <v>14</v>
      </c>
      <c r="U43" s="573">
        <f t="shared" si="11"/>
        <v>15</v>
      </c>
    </row>
    <row r="44" spans="1:21">
      <c r="A44" s="2">
        <v>1</v>
      </c>
      <c r="D44" s="19" t="str">
        <f>"Preço de 1 Veíc. "&amp;VLOOKUP(A44,TIPOLOGIA!$D$10:$E$12,2,0)</f>
        <v>Preço de 1 Veíc. MICROÔNIBUS</v>
      </c>
      <c r="E44" s="19"/>
      <c r="F44" s="20" t="s">
        <v>25</v>
      </c>
      <c r="G44" s="619">
        <v>309000</v>
      </c>
      <c r="H44" s="51">
        <f>G44</f>
        <v>309000</v>
      </c>
      <c r="I44" s="51">
        <f t="shared" ref="I44:U44" si="12">H44</f>
        <v>309000</v>
      </c>
      <c r="J44" s="51">
        <f t="shared" si="12"/>
        <v>309000</v>
      </c>
      <c r="K44" s="51">
        <f t="shared" si="12"/>
        <v>309000</v>
      </c>
      <c r="L44" s="51">
        <f t="shared" si="12"/>
        <v>309000</v>
      </c>
      <c r="M44" s="51">
        <f t="shared" si="12"/>
        <v>309000</v>
      </c>
      <c r="N44" s="51">
        <f t="shared" si="12"/>
        <v>309000</v>
      </c>
      <c r="O44" s="51">
        <f t="shared" si="12"/>
        <v>309000</v>
      </c>
      <c r="P44" s="51">
        <f t="shared" si="12"/>
        <v>309000</v>
      </c>
      <c r="Q44" s="51">
        <f t="shared" si="12"/>
        <v>309000</v>
      </c>
      <c r="R44" s="51">
        <f t="shared" si="12"/>
        <v>309000</v>
      </c>
      <c r="S44" s="51">
        <f t="shared" si="12"/>
        <v>309000</v>
      </c>
      <c r="T44" s="51">
        <f t="shared" si="12"/>
        <v>309000</v>
      </c>
      <c r="U44" s="64">
        <f t="shared" si="12"/>
        <v>309000</v>
      </c>
    </row>
    <row r="45" spans="1:21">
      <c r="A45" s="2">
        <v>2</v>
      </c>
      <c r="D45" s="17" t="str">
        <f>"Preço de 1 Veíc. "&amp;VLOOKUP(A45,TIPOLOGIA!$D$10:$E$12,2,0)</f>
        <v>Preço de 1 Veíc. CONVENCIONAL</v>
      </c>
      <c r="E45" s="17"/>
      <c r="F45" s="18" t="str">
        <f>+F44</f>
        <v>(R$/Veíc.)</v>
      </c>
      <c r="G45" s="620">
        <v>388000</v>
      </c>
      <c r="H45" s="51">
        <f t="shared" ref="H45:U45" si="13">G45</f>
        <v>388000</v>
      </c>
      <c r="I45" s="51">
        <f t="shared" si="13"/>
        <v>388000</v>
      </c>
      <c r="J45" s="51">
        <f t="shared" si="13"/>
        <v>388000</v>
      </c>
      <c r="K45" s="51">
        <f t="shared" si="13"/>
        <v>388000</v>
      </c>
      <c r="L45" s="51">
        <f t="shared" si="13"/>
        <v>388000</v>
      </c>
      <c r="M45" s="51">
        <f t="shared" si="13"/>
        <v>388000</v>
      </c>
      <c r="N45" s="51">
        <f t="shared" si="13"/>
        <v>388000</v>
      </c>
      <c r="O45" s="51">
        <f t="shared" si="13"/>
        <v>388000</v>
      </c>
      <c r="P45" s="51">
        <f t="shared" si="13"/>
        <v>388000</v>
      </c>
      <c r="Q45" s="51">
        <f t="shared" si="13"/>
        <v>388000</v>
      </c>
      <c r="R45" s="51">
        <f t="shared" si="13"/>
        <v>388000</v>
      </c>
      <c r="S45" s="51">
        <f t="shared" si="13"/>
        <v>388000</v>
      </c>
      <c r="T45" s="51">
        <f t="shared" si="13"/>
        <v>388000</v>
      </c>
      <c r="U45" s="52">
        <f t="shared" si="13"/>
        <v>388000</v>
      </c>
    </row>
    <row r="46" spans="1:21">
      <c r="A46" s="2">
        <v>3</v>
      </c>
      <c r="D46" s="24" t="str">
        <f>"Preço de 1 Veíc. "&amp;VLOOKUP(A46,TIPOLOGIA!$D$10:$E$12,2,0)</f>
        <v>Preço de 1 Veíc. -</v>
      </c>
      <c r="E46" s="24"/>
      <c r="F46" s="25" t="str">
        <f>+F45</f>
        <v>(R$/Veíc.)</v>
      </c>
      <c r="G46" s="621">
        <v>0</v>
      </c>
      <c r="H46" s="51">
        <f t="shared" ref="H46:U46" si="14">G46</f>
        <v>0</v>
      </c>
      <c r="I46" s="51">
        <f t="shared" si="14"/>
        <v>0</v>
      </c>
      <c r="J46" s="51">
        <f t="shared" si="14"/>
        <v>0</v>
      </c>
      <c r="K46" s="51">
        <f t="shared" si="14"/>
        <v>0</v>
      </c>
      <c r="L46" s="51">
        <f t="shared" si="14"/>
        <v>0</v>
      </c>
      <c r="M46" s="51">
        <f t="shared" si="14"/>
        <v>0</v>
      </c>
      <c r="N46" s="51">
        <f t="shared" si="14"/>
        <v>0</v>
      </c>
      <c r="O46" s="51">
        <f t="shared" si="14"/>
        <v>0</v>
      </c>
      <c r="P46" s="51">
        <f t="shared" si="14"/>
        <v>0</v>
      </c>
      <c r="Q46" s="51">
        <f t="shared" si="14"/>
        <v>0</v>
      </c>
      <c r="R46" s="51">
        <f t="shared" si="14"/>
        <v>0</v>
      </c>
      <c r="S46" s="51">
        <f t="shared" si="14"/>
        <v>0</v>
      </c>
      <c r="T46" s="51">
        <f t="shared" si="14"/>
        <v>0</v>
      </c>
      <c r="U46" s="52">
        <f t="shared" si="14"/>
        <v>0</v>
      </c>
    </row>
    <row r="48" spans="1:21" ht="15.75">
      <c r="A48" s="2">
        <v>1</v>
      </c>
      <c r="C48" s="381" t="str">
        <f>+MENU!$C$47</f>
        <v>3.4.1.1 - PREÇO DE VEÍCULO COM FATOR DE DEPRECIAÇÃO -  MICROÔNIBUS</v>
      </c>
    </row>
    <row r="49" spans="1:21">
      <c r="C49" s="4"/>
    </row>
    <row r="50" spans="1:21" ht="26.25" customHeight="1">
      <c r="C50" s="694" t="s">
        <v>86</v>
      </c>
      <c r="D50" s="696"/>
      <c r="E50" s="577" t="s">
        <v>108</v>
      </c>
      <c r="F50" s="577" t="s">
        <v>109</v>
      </c>
      <c r="G50" s="578">
        <v>1</v>
      </c>
      <c r="H50" s="572">
        <f t="shared" ref="H50:U50" si="15">+G50+1</f>
        <v>2</v>
      </c>
      <c r="I50" s="572">
        <f t="shared" si="15"/>
        <v>3</v>
      </c>
      <c r="J50" s="572">
        <f t="shared" si="15"/>
        <v>4</v>
      </c>
      <c r="K50" s="572">
        <f t="shared" si="15"/>
        <v>5</v>
      </c>
      <c r="L50" s="572">
        <f t="shared" si="15"/>
        <v>6</v>
      </c>
      <c r="M50" s="572">
        <f t="shared" si="15"/>
        <v>7</v>
      </c>
      <c r="N50" s="572">
        <f t="shared" si="15"/>
        <v>8</v>
      </c>
      <c r="O50" s="572">
        <f t="shared" si="15"/>
        <v>9</v>
      </c>
      <c r="P50" s="572">
        <f t="shared" si="15"/>
        <v>10</v>
      </c>
      <c r="Q50" s="572">
        <f t="shared" si="15"/>
        <v>11</v>
      </c>
      <c r="R50" s="572">
        <f t="shared" si="15"/>
        <v>12</v>
      </c>
      <c r="S50" s="572">
        <f t="shared" si="15"/>
        <v>13</v>
      </c>
      <c r="T50" s="572">
        <f t="shared" si="15"/>
        <v>14</v>
      </c>
      <c r="U50" s="573">
        <f t="shared" si="15"/>
        <v>15</v>
      </c>
    </row>
    <row r="51" spans="1:21">
      <c r="C51" s="110">
        <v>0</v>
      </c>
      <c r="D51" s="135" t="s">
        <v>87</v>
      </c>
      <c r="E51" s="139">
        <f>(1-'2. COEFICIENTES'!$F$72)*('2. COEFICIENTES'!$F$65/SUM($C$51:$C$59))</f>
        <v>0.18888888888888888</v>
      </c>
      <c r="F51" s="140">
        <v>1</v>
      </c>
      <c r="G51" s="133">
        <f>G$44*$F51</f>
        <v>309000</v>
      </c>
      <c r="H51" s="133">
        <f t="shared" ref="H51:U61" si="16">H$44*$F51</f>
        <v>309000</v>
      </c>
      <c r="I51" s="133">
        <f t="shared" si="16"/>
        <v>309000</v>
      </c>
      <c r="J51" s="133">
        <f t="shared" si="16"/>
        <v>309000</v>
      </c>
      <c r="K51" s="133">
        <f t="shared" si="16"/>
        <v>309000</v>
      </c>
      <c r="L51" s="133">
        <f t="shared" si="16"/>
        <v>309000</v>
      </c>
      <c r="M51" s="136">
        <f t="shared" si="16"/>
        <v>309000</v>
      </c>
      <c r="N51" s="136">
        <f t="shared" si="16"/>
        <v>309000</v>
      </c>
      <c r="O51" s="136">
        <f t="shared" si="16"/>
        <v>309000</v>
      </c>
      <c r="P51" s="136">
        <f t="shared" si="16"/>
        <v>309000</v>
      </c>
      <c r="Q51" s="136">
        <f t="shared" si="16"/>
        <v>309000</v>
      </c>
      <c r="R51" s="136">
        <f t="shared" si="16"/>
        <v>309000</v>
      </c>
      <c r="S51" s="136">
        <f t="shared" si="16"/>
        <v>309000</v>
      </c>
      <c r="T51" s="136">
        <f t="shared" si="16"/>
        <v>309000</v>
      </c>
      <c r="U51" s="147">
        <f t="shared" si="16"/>
        <v>309000</v>
      </c>
    </row>
    <row r="52" spans="1:21">
      <c r="C52" s="110">
        <v>1</v>
      </c>
      <c r="D52" s="135" t="s">
        <v>89</v>
      </c>
      <c r="E52" s="141">
        <f>(1-'2. COEFICIENTES'!$F$72)*(('2. COEFICIENTES'!$F$65-MAX($C$51:C52))/SUM($C$51:$C$59))</f>
        <v>0.16527777777777777</v>
      </c>
      <c r="F52" s="142">
        <f t="shared" ref="F52:F58" si="17">F51-E51</f>
        <v>0.81111111111111112</v>
      </c>
      <c r="G52" s="99">
        <f t="shared" ref="G52:G61" si="18">G$44*$F52</f>
        <v>250633.33333333334</v>
      </c>
      <c r="H52" s="99">
        <f t="shared" si="16"/>
        <v>250633.33333333334</v>
      </c>
      <c r="I52" s="99">
        <f t="shared" si="16"/>
        <v>250633.33333333334</v>
      </c>
      <c r="J52" s="99">
        <f t="shared" si="16"/>
        <v>250633.33333333334</v>
      </c>
      <c r="K52" s="99">
        <f t="shared" si="16"/>
        <v>250633.33333333334</v>
      </c>
      <c r="L52" s="137">
        <f t="shared" si="16"/>
        <v>250633.33333333334</v>
      </c>
      <c r="M52" s="137">
        <f t="shared" si="16"/>
        <v>250633.33333333334</v>
      </c>
      <c r="N52" s="137">
        <f t="shared" si="16"/>
        <v>250633.33333333334</v>
      </c>
      <c r="O52" s="137">
        <f t="shared" si="16"/>
        <v>250633.33333333334</v>
      </c>
      <c r="P52" s="137">
        <f t="shared" si="16"/>
        <v>250633.33333333334</v>
      </c>
      <c r="Q52" s="137">
        <f t="shared" si="16"/>
        <v>250633.33333333334</v>
      </c>
      <c r="R52" s="137">
        <f t="shared" si="16"/>
        <v>250633.33333333334</v>
      </c>
      <c r="S52" s="137">
        <f t="shared" si="16"/>
        <v>250633.33333333334</v>
      </c>
      <c r="T52" s="137">
        <f t="shared" si="16"/>
        <v>250633.33333333334</v>
      </c>
      <c r="U52" s="148">
        <f t="shared" si="16"/>
        <v>250633.33333333334</v>
      </c>
    </row>
    <row r="53" spans="1:21">
      <c r="C53" s="110">
        <v>2</v>
      </c>
      <c r="D53" s="135" t="s">
        <v>90</v>
      </c>
      <c r="E53" s="141">
        <f>(1-'2. COEFICIENTES'!$F$72)*(('2. COEFICIENTES'!$F$65-MAX($C$51:C53))/SUM($C$51:$C$59))</f>
        <v>0.14166666666666666</v>
      </c>
      <c r="F53" s="142">
        <f t="shared" si="17"/>
        <v>0.64583333333333337</v>
      </c>
      <c r="G53" s="99">
        <f t="shared" si="18"/>
        <v>199562.5</v>
      </c>
      <c r="H53" s="99">
        <f t="shared" si="16"/>
        <v>199562.5</v>
      </c>
      <c r="I53" s="99">
        <f t="shared" si="16"/>
        <v>199562.5</v>
      </c>
      <c r="J53" s="99">
        <f t="shared" si="16"/>
        <v>199562.5</v>
      </c>
      <c r="K53" s="99">
        <f t="shared" si="16"/>
        <v>199562.5</v>
      </c>
      <c r="L53" s="137">
        <f t="shared" si="16"/>
        <v>199562.5</v>
      </c>
      <c r="M53" s="137">
        <f t="shared" si="16"/>
        <v>199562.5</v>
      </c>
      <c r="N53" s="137">
        <f t="shared" si="16"/>
        <v>199562.5</v>
      </c>
      <c r="O53" s="137">
        <f t="shared" si="16"/>
        <v>199562.5</v>
      </c>
      <c r="P53" s="137">
        <f t="shared" si="16"/>
        <v>199562.5</v>
      </c>
      <c r="Q53" s="137">
        <f t="shared" si="16"/>
        <v>199562.5</v>
      </c>
      <c r="R53" s="137">
        <f t="shared" si="16"/>
        <v>199562.5</v>
      </c>
      <c r="S53" s="137">
        <f t="shared" si="16"/>
        <v>199562.5</v>
      </c>
      <c r="T53" s="137">
        <f t="shared" si="16"/>
        <v>199562.5</v>
      </c>
      <c r="U53" s="148">
        <f t="shared" si="16"/>
        <v>199562.5</v>
      </c>
    </row>
    <row r="54" spans="1:21">
      <c r="C54" s="110">
        <v>3</v>
      </c>
      <c r="D54" s="135" t="s">
        <v>91</v>
      </c>
      <c r="E54" s="141">
        <f>(1-'2. COEFICIENTES'!$F$72)*(('2. COEFICIENTES'!$F$65-MAX($C$51:C54))/SUM($C$51:$C$59))</f>
        <v>0.11805555555555555</v>
      </c>
      <c r="F54" s="142">
        <f t="shared" si="17"/>
        <v>0.50416666666666665</v>
      </c>
      <c r="G54" s="99">
        <f t="shared" si="18"/>
        <v>155787.5</v>
      </c>
      <c r="H54" s="99">
        <f t="shared" si="16"/>
        <v>155787.5</v>
      </c>
      <c r="I54" s="99">
        <f t="shared" si="16"/>
        <v>155787.5</v>
      </c>
      <c r="J54" s="99">
        <f t="shared" si="16"/>
        <v>155787.5</v>
      </c>
      <c r="K54" s="137">
        <f t="shared" si="16"/>
        <v>155787.5</v>
      </c>
      <c r="L54" s="137">
        <f t="shared" si="16"/>
        <v>155787.5</v>
      </c>
      <c r="M54" s="137">
        <f t="shared" si="16"/>
        <v>155787.5</v>
      </c>
      <c r="N54" s="137">
        <f t="shared" si="16"/>
        <v>155787.5</v>
      </c>
      <c r="O54" s="137">
        <f t="shared" si="16"/>
        <v>155787.5</v>
      </c>
      <c r="P54" s="137">
        <f t="shared" si="16"/>
        <v>155787.5</v>
      </c>
      <c r="Q54" s="137">
        <f t="shared" si="16"/>
        <v>155787.5</v>
      </c>
      <c r="R54" s="137">
        <f t="shared" si="16"/>
        <v>155787.5</v>
      </c>
      <c r="S54" s="137">
        <f t="shared" si="16"/>
        <v>155787.5</v>
      </c>
      <c r="T54" s="137">
        <f t="shared" si="16"/>
        <v>155787.5</v>
      </c>
      <c r="U54" s="148">
        <f t="shared" si="16"/>
        <v>155787.5</v>
      </c>
    </row>
    <row r="55" spans="1:21">
      <c r="C55" s="110">
        <v>4</v>
      </c>
      <c r="D55" s="135" t="s">
        <v>92</v>
      </c>
      <c r="E55" s="141">
        <f>(1-'2. COEFICIENTES'!$F$72)*(('2. COEFICIENTES'!$F$65-MAX($C$51:C55))/SUM($C$51:$C$59))</f>
        <v>9.4444444444444442E-2</v>
      </c>
      <c r="F55" s="142">
        <f t="shared" si="17"/>
        <v>0.38611111111111107</v>
      </c>
      <c r="G55" s="99">
        <f t="shared" si="18"/>
        <v>119308.33333333331</v>
      </c>
      <c r="H55" s="99">
        <f t="shared" si="16"/>
        <v>119308.33333333331</v>
      </c>
      <c r="I55" s="99">
        <f t="shared" si="16"/>
        <v>119308.33333333331</v>
      </c>
      <c r="J55" s="99">
        <f t="shared" si="16"/>
        <v>119308.33333333331</v>
      </c>
      <c r="K55" s="137">
        <f t="shared" si="16"/>
        <v>119308.33333333331</v>
      </c>
      <c r="L55" s="137">
        <f t="shared" si="16"/>
        <v>119308.33333333331</v>
      </c>
      <c r="M55" s="137">
        <f t="shared" si="16"/>
        <v>119308.33333333331</v>
      </c>
      <c r="N55" s="137">
        <f t="shared" si="16"/>
        <v>119308.33333333331</v>
      </c>
      <c r="O55" s="137">
        <f t="shared" si="16"/>
        <v>119308.33333333331</v>
      </c>
      <c r="P55" s="137">
        <f t="shared" si="16"/>
        <v>119308.33333333331</v>
      </c>
      <c r="Q55" s="137">
        <f t="shared" si="16"/>
        <v>119308.33333333331</v>
      </c>
      <c r="R55" s="137">
        <f t="shared" si="16"/>
        <v>119308.33333333331</v>
      </c>
      <c r="S55" s="137">
        <f t="shared" si="16"/>
        <v>119308.33333333331</v>
      </c>
      <c r="T55" s="137">
        <f t="shared" si="16"/>
        <v>119308.33333333331</v>
      </c>
      <c r="U55" s="148">
        <f t="shared" si="16"/>
        <v>119308.33333333331</v>
      </c>
    </row>
    <row r="56" spans="1:21">
      <c r="C56" s="110">
        <v>5</v>
      </c>
      <c r="D56" s="135" t="s">
        <v>93</v>
      </c>
      <c r="E56" s="141">
        <f>(1-'2. COEFICIENTES'!$F$72)*(('2. COEFICIENTES'!$F$65-MAX($C$51:C56))/SUM($C$51:$C$59))</f>
        <v>7.0833333333333331E-2</v>
      </c>
      <c r="F56" s="142">
        <f t="shared" si="17"/>
        <v>0.29166666666666663</v>
      </c>
      <c r="G56" s="99">
        <f t="shared" si="18"/>
        <v>90124.999999999985</v>
      </c>
      <c r="H56" s="99">
        <f t="shared" si="16"/>
        <v>90124.999999999985</v>
      </c>
      <c r="I56" s="99">
        <f t="shared" si="16"/>
        <v>90124.999999999985</v>
      </c>
      <c r="J56" s="137">
        <f t="shared" si="16"/>
        <v>90124.999999999985</v>
      </c>
      <c r="K56" s="137">
        <f t="shared" si="16"/>
        <v>90124.999999999985</v>
      </c>
      <c r="L56" s="137">
        <f t="shared" si="16"/>
        <v>90124.999999999985</v>
      </c>
      <c r="M56" s="137">
        <f t="shared" si="16"/>
        <v>90124.999999999985</v>
      </c>
      <c r="N56" s="137">
        <f t="shared" si="16"/>
        <v>90124.999999999985</v>
      </c>
      <c r="O56" s="137">
        <f t="shared" si="16"/>
        <v>90124.999999999985</v>
      </c>
      <c r="P56" s="137">
        <f t="shared" si="16"/>
        <v>90124.999999999985</v>
      </c>
      <c r="Q56" s="137">
        <f t="shared" si="16"/>
        <v>90124.999999999985</v>
      </c>
      <c r="R56" s="137">
        <f t="shared" si="16"/>
        <v>90124.999999999985</v>
      </c>
      <c r="S56" s="137">
        <f t="shared" si="16"/>
        <v>90124.999999999985</v>
      </c>
      <c r="T56" s="137">
        <f t="shared" si="16"/>
        <v>90124.999999999985</v>
      </c>
      <c r="U56" s="148">
        <f t="shared" si="16"/>
        <v>90124.999999999985</v>
      </c>
    </row>
    <row r="57" spans="1:21">
      <c r="C57" s="110">
        <v>6</v>
      </c>
      <c r="D57" s="135" t="s">
        <v>94</v>
      </c>
      <c r="E57" s="141">
        <f>(1-'2. COEFICIENTES'!$F$72)*(('2. COEFICIENTES'!$F$65-MAX($C$51:C57))/SUM($C$51:$C$59))</f>
        <v>4.7222222222222221E-2</v>
      </c>
      <c r="F57" s="142">
        <f t="shared" si="17"/>
        <v>0.2208333333333333</v>
      </c>
      <c r="G57" s="99">
        <f t="shared" si="18"/>
        <v>68237.499999999985</v>
      </c>
      <c r="H57" s="99">
        <f t="shared" si="16"/>
        <v>68237.499999999985</v>
      </c>
      <c r="I57" s="99">
        <f t="shared" si="16"/>
        <v>68237.499999999985</v>
      </c>
      <c r="J57" s="137">
        <f t="shared" si="16"/>
        <v>68237.499999999985</v>
      </c>
      <c r="K57" s="137">
        <f t="shared" si="16"/>
        <v>68237.499999999985</v>
      </c>
      <c r="L57" s="137">
        <f t="shared" si="16"/>
        <v>68237.499999999985</v>
      </c>
      <c r="M57" s="137">
        <f t="shared" si="16"/>
        <v>68237.499999999985</v>
      </c>
      <c r="N57" s="137">
        <f t="shared" si="16"/>
        <v>68237.499999999985</v>
      </c>
      <c r="O57" s="137">
        <f t="shared" si="16"/>
        <v>68237.499999999985</v>
      </c>
      <c r="P57" s="137">
        <f t="shared" si="16"/>
        <v>68237.499999999985</v>
      </c>
      <c r="Q57" s="137">
        <f t="shared" si="16"/>
        <v>68237.499999999985</v>
      </c>
      <c r="R57" s="137">
        <f t="shared" si="16"/>
        <v>68237.499999999985</v>
      </c>
      <c r="S57" s="137">
        <f t="shared" si="16"/>
        <v>68237.499999999985</v>
      </c>
      <c r="T57" s="137">
        <f t="shared" si="16"/>
        <v>68237.499999999985</v>
      </c>
      <c r="U57" s="148">
        <f t="shared" si="16"/>
        <v>68237.499999999985</v>
      </c>
    </row>
    <row r="58" spans="1:21">
      <c r="C58" s="110">
        <v>7</v>
      </c>
      <c r="D58" s="135" t="s">
        <v>95</v>
      </c>
      <c r="E58" s="141">
        <f>(1-'2. COEFICIENTES'!$F$72)*(('2. COEFICIENTES'!$F$65-MAX($C$51:C58))/SUM($C$51:$C$59))</f>
        <v>2.361111111111111E-2</v>
      </c>
      <c r="F58" s="142">
        <f t="shared" si="17"/>
        <v>0.17361111111111108</v>
      </c>
      <c r="G58" s="99">
        <f t="shared" si="18"/>
        <v>53645.833333333321</v>
      </c>
      <c r="H58" s="99">
        <f t="shared" si="16"/>
        <v>53645.833333333321</v>
      </c>
      <c r="I58" s="137">
        <f t="shared" si="16"/>
        <v>53645.833333333321</v>
      </c>
      <c r="J58" s="137">
        <f t="shared" si="16"/>
        <v>53645.833333333321</v>
      </c>
      <c r="K58" s="137">
        <f t="shared" si="16"/>
        <v>53645.833333333321</v>
      </c>
      <c r="L58" s="137">
        <f t="shared" si="16"/>
        <v>53645.833333333321</v>
      </c>
      <c r="M58" s="137">
        <f t="shared" si="16"/>
        <v>53645.833333333321</v>
      </c>
      <c r="N58" s="137">
        <f t="shared" si="16"/>
        <v>53645.833333333321</v>
      </c>
      <c r="O58" s="137">
        <f t="shared" si="16"/>
        <v>53645.833333333321</v>
      </c>
      <c r="P58" s="137">
        <f t="shared" si="16"/>
        <v>53645.833333333321</v>
      </c>
      <c r="Q58" s="137">
        <f t="shared" si="16"/>
        <v>53645.833333333321</v>
      </c>
      <c r="R58" s="137">
        <f t="shared" si="16"/>
        <v>53645.833333333321</v>
      </c>
      <c r="S58" s="137">
        <f t="shared" si="16"/>
        <v>53645.833333333321</v>
      </c>
      <c r="T58" s="137">
        <f t="shared" si="16"/>
        <v>53645.833333333321</v>
      </c>
      <c r="U58" s="148">
        <f t="shared" si="16"/>
        <v>53645.833333333321</v>
      </c>
    </row>
    <row r="59" spans="1:21">
      <c r="C59" s="110">
        <v>8</v>
      </c>
      <c r="D59" s="135" t="s">
        <v>96</v>
      </c>
      <c r="E59" s="141">
        <f>IF(C59&gt;'2. COEFICIENTES'!$F$65,0,(1-'2. COEFICIENTES'!$F$72)*(('2. COEFICIENTES'!$F$65-MAX($C$51:C59))/SUM($C$51:$C$59)))</f>
        <v>0</v>
      </c>
      <c r="F59" s="142">
        <f>F58-E58</f>
        <v>0.14999999999999997</v>
      </c>
      <c r="G59" s="99">
        <f t="shared" si="18"/>
        <v>46349.999999999993</v>
      </c>
      <c r="H59" s="99">
        <f t="shared" si="16"/>
        <v>46349.999999999993</v>
      </c>
      <c r="I59" s="137">
        <f t="shared" si="16"/>
        <v>46349.999999999993</v>
      </c>
      <c r="J59" s="137">
        <f t="shared" si="16"/>
        <v>46349.999999999993</v>
      </c>
      <c r="K59" s="137">
        <f t="shared" si="16"/>
        <v>46349.999999999993</v>
      </c>
      <c r="L59" s="137">
        <f t="shared" si="16"/>
        <v>46349.999999999993</v>
      </c>
      <c r="M59" s="137">
        <f t="shared" si="16"/>
        <v>46349.999999999993</v>
      </c>
      <c r="N59" s="137">
        <f t="shared" si="16"/>
        <v>46349.999999999993</v>
      </c>
      <c r="O59" s="137">
        <f t="shared" si="16"/>
        <v>46349.999999999993</v>
      </c>
      <c r="P59" s="137">
        <f t="shared" si="16"/>
        <v>46349.999999999993</v>
      </c>
      <c r="Q59" s="137">
        <f t="shared" si="16"/>
        <v>46349.999999999993</v>
      </c>
      <c r="R59" s="137">
        <f t="shared" si="16"/>
        <v>46349.999999999993</v>
      </c>
      <c r="S59" s="137">
        <f t="shared" si="16"/>
        <v>46349.999999999993</v>
      </c>
      <c r="T59" s="137">
        <f t="shared" si="16"/>
        <v>46349.999999999993</v>
      </c>
      <c r="U59" s="148">
        <f t="shared" si="16"/>
        <v>46349.999999999993</v>
      </c>
    </row>
    <row r="60" spans="1:21">
      <c r="C60" s="110">
        <v>9</v>
      </c>
      <c r="D60" s="135" t="s">
        <v>97</v>
      </c>
      <c r="E60" s="141">
        <f>IF(C60&gt;'2. COEFICIENTES'!$F$65,0,(1-'2. COEFICIENTES'!$F$72)*(('2. COEFICIENTES'!$F$65-MAX($C$51:C60))/SUM($C$51:$C$59)))</f>
        <v>0</v>
      </c>
      <c r="F60" s="142">
        <f>IF(E59=0,0,F59-E59)</f>
        <v>0</v>
      </c>
      <c r="G60" s="99">
        <f t="shared" si="18"/>
        <v>0</v>
      </c>
      <c r="H60" s="137">
        <f t="shared" si="16"/>
        <v>0</v>
      </c>
      <c r="I60" s="137">
        <f t="shared" si="16"/>
        <v>0</v>
      </c>
      <c r="J60" s="137">
        <f t="shared" si="16"/>
        <v>0</v>
      </c>
      <c r="K60" s="137">
        <f t="shared" si="16"/>
        <v>0</v>
      </c>
      <c r="L60" s="137">
        <f t="shared" si="16"/>
        <v>0</v>
      </c>
      <c r="M60" s="137">
        <f t="shared" si="16"/>
        <v>0</v>
      </c>
      <c r="N60" s="137">
        <f t="shared" si="16"/>
        <v>0</v>
      </c>
      <c r="O60" s="137">
        <f t="shared" si="16"/>
        <v>0</v>
      </c>
      <c r="P60" s="137">
        <f t="shared" si="16"/>
        <v>0</v>
      </c>
      <c r="Q60" s="137">
        <f t="shared" si="16"/>
        <v>0</v>
      </c>
      <c r="R60" s="137">
        <f t="shared" si="16"/>
        <v>0</v>
      </c>
      <c r="S60" s="137">
        <f t="shared" si="16"/>
        <v>0</v>
      </c>
      <c r="T60" s="137">
        <f t="shared" si="16"/>
        <v>0</v>
      </c>
      <c r="U60" s="148">
        <f t="shared" si="16"/>
        <v>0</v>
      </c>
    </row>
    <row r="61" spans="1:21">
      <c r="C61" s="143">
        <v>10</v>
      </c>
      <c r="D61" s="144" t="s">
        <v>98</v>
      </c>
      <c r="E61" s="145">
        <f>IF(C61&gt;'2. COEFICIENTES'!$F$65,0,(1-'2. COEFICIENTES'!$F$72)*(('2. COEFICIENTES'!$F$65-MAX($C$51:C61))/SUM($C$51:$C$59)))</f>
        <v>0</v>
      </c>
      <c r="F61" s="146">
        <f>IF(E60=0,0,F60-E60)</f>
        <v>0</v>
      </c>
      <c r="G61" s="134">
        <f t="shared" si="18"/>
        <v>0</v>
      </c>
      <c r="H61" s="138">
        <f t="shared" si="16"/>
        <v>0</v>
      </c>
      <c r="I61" s="138">
        <f t="shared" si="16"/>
        <v>0</v>
      </c>
      <c r="J61" s="138">
        <f t="shared" si="16"/>
        <v>0</v>
      </c>
      <c r="K61" s="138">
        <f t="shared" si="16"/>
        <v>0</v>
      </c>
      <c r="L61" s="138">
        <f t="shared" si="16"/>
        <v>0</v>
      </c>
      <c r="M61" s="138">
        <f t="shared" si="16"/>
        <v>0</v>
      </c>
      <c r="N61" s="138">
        <f t="shared" si="16"/>
        <v>0</v>
      </c>
      <c r="O61" s="138">
        <f t="shared" si="16"/>
        <v>0</v>
      </c>
      <c r="P61" s="138">
        <f t="shared" si="16"/>
        <v>0</v>
      </c>
      <c r="Q61" s="138">
        <f t="shared" si="16"/>
        <v>0</v>
      </c>
      <c r="R61" s="138">
        <f t="shared" si="16"/>
        <v>0</v>
      </c>
      <c r="S61" s="138">
        <f t="shared" si="16"/>
        <v>0</v>
      </c>
      <c r="T61" s="138">
        <f t="shared" si="16"/>
        <v>0</v>
      </c>
      <c r="U61" s="149">
        <f t="shared" si="16"/>
        <v>0</v>
      </c>
    </row>
    <row r="63" spans="1:21" ht="15.75">
      <c r="A63" s="2">
        <v>2</v>
      </c>
      <c r="C63" s="381" t="str">
        <f>+MENU!$C$48</f>
        <v>3.4.1.2 - PREÇO DE VEÍCULO COM FATOR DE DEPRECIAÇÃO -  CONVENCIONAL</v>
      </c>
    </row>
    <row r="64" spans="1:21">
      <c r="C64" s="4"/>
    </row>
    <row r="65" spans="1:21" ht="26.25" customHeight="1">
      <c r="C65" s="694" t="s">
        <v>86</v>
      </c>
      <c r="D65" s="696"/>
      <c r="E65" s="577" t="s">
        <v>108</v>
      </c>
      <c r="F65" s="577" t="s">
        <v>109</v>
      </c>
      <c r="G65" s="578">
        <v>1</v>
      </c>
      <c r="H65" s="572">
        <f t="shared" ref="H65:U65" si="19">+G65+1</f>
        <v>2</v>
      </c>
      <c r="I65" s="572">
        <f t="shared" si="19"/>
        <v>3</v>
      </c>
      <c r="J65" s="572">
        <f t="shared" si="19"/>
        <v>4</v>
      </c>
      <c r="K65" s="572">
        <f t="shared" si="19"/>
        <v>5</v>
      </c>
      <c r="L65" s="572">
        <f t="shared" si="19"/>
        <v>6</v>
      </c>
      <c r="M65" s="572">
        <f t="shared" si="19"/>
        <v>7</v>
      </c>
      <c r="N65" s="572">
        <f t="shared" si="19"/>
        <v>8</v>
      </c>
      <c r="O65" s="572">
        <f t="shared" si="19"/>
        <v>9</v>
      </c>
      <c r="P65" s="572">
        <f t="shared" si="19"/>
        <v>10</v>
      </c>
      <c r="Q65" s="572">
        <f t="shared" si="19"/>
        <v>11</v>
      </c>
      <c r="R65" s="572">
        <f t="shared" si="19"/>
        <v>12</v>
      </c>
      <c r="S65" s="572">
        <f t="shared" si="19"/>
        <v>13</v>
      </c>
      <c r="T65" s="572">
        <f t="shared" si="19"/>
        <v>14</v>
      </c>
      <c r="U65" s="573">
        <f t="shared" si="19"/>
        <v>15</v>
      </c>
    </row>
    <row r="66" spans="1:21">
      <c r="C66" s="110">
        <v>0</v>
      </c>
      <c r="D66" s="135" t="s">
        <v>87</v>
      </c>
      <c r="E66" s="139">
        <f>(1-'2. COEFICIENTES'!$F$73)*('2. COEFICIENTES'!$F$66/SUM($C$51:$C$59))</f>
        <v>0.19999999999999998</v>
      </c>
      <c r="F66" s="140">
        <v>1</v>
      </c>
      <c r="G66" s="133">
        <f>G$45*$F66</f>
        <v>388000</v>
      </c>
      <c r="H66" s="133">
        <f t="shared" ref="H66:U76" si="20">H$45*$F66</f>
        <v>388000</v>
      </c>
      <c r="I66" s="133">
        <f t="shared" si="20"/>
        <v>388000</v>
      </c>
      <c r="J66" s="133">
        <f t="shared" si="20"/>
        <v>388000</v>
      </c>
      <c r="K66" s="133">
        <f t="shared" si="20"/>
        <v>388000</v>
      </c>
      <c r="L66" s="133">
        <f t="shared" si="20"/>
        <v>388000</v>
      </c>
      <c r="M66" s="136">
        <f t="shared" si="20"/>
        <v>388000</v>
      </c>
      <c r="N66" s="136">
        <f t="shared" si="20"/>
        <v>388000</v>
      </c>
      <c r="O66" s="136">
        <f t="shared" si="20"/>
        <v>388000</v>
      </c>
      <c r="P66" s="136">
        <f t="shared" si="20"/>
        <v>388000</v>
      </c>
      <c r="Q66" s="136">
        <f t="shared" si="20"/>
        <v>388000</v>
      </c>
      <c r="R66" s="136">
        <f t="shared" si="20"/>
        <v>388000</v>
      </c>
      <c r="S66" s="136">
        <f t="shared" si="20"/>
        <v>388000</v>
      </c>
      <c r="T66" s="136">
        <f t="shared" si="20"/>
        <v>388000</v>
      </c>
      <c r="U66" s="150">
        <f t="shared" si="20"/>
        <v>388000</v>
      </c>
    </row>
    <row r="67" spans="1:21">
      <c r="C67" s="110">
        <v>1</v>
      </c>
      <c r="D67" s="135" t="s">
        <v>89</v>
      </c>
      <c r="E67" s="141">
        <f>IF(C67&gt;'2. COEFICIENTES'!$F$66,0,(1-'2. COEFICIENTES'!$F$73)*(('2. COEFICIENTES'!$F$66-MAX($C$66:C67))/SUM($C$66:$C$74)))</f>
        <v>0.17500000000000002</v>
      </c>
      <c r="F67" s="142">
        <f t="shared" ref="F67:F73" si="21">F66-E66</f>
        <v>0.8</v>
      </c>
      <c r="G67" s="99">
        <f t="shared" ref="G67:G76" si="22">G$45*$F67</f>
        <v>310400</v>
      </c>
      <c r="H67" s="99">
        <f t="shared" si="20"/>
        <v>310400</v>
      </c>
      <c r="I67" s="99">
        <f t="shared" si="20"/>
        <v>310400</v>
      </c>
      <c r="J67" s="99">
        <f t="shared" si="20"/>
        <v>310400</v>
      </c>
      <c r="K67" s="99">
        <f t="shared" si="20"/>
        <v>310400</v>
      </c>
      <c r="L67" s="137">
        <f t="shared" si="20"/>
        <v>310400</v>
      </c>
      <c r="M67" s="137">
        <f t="shared" si="20"/>
        <v>310400</v>
      </c>
      <c r="N67" s="137">
        <f t="shared" si="20"/>
        <v>310400</v>
      </c>
      <c r="O67" s="137">
        <f t="shared" si="20"/>
        <v>310400</v>
      </c>
      <c r="P67" s="137">
        <f t="shared" si="20"/>
        <v>310400</v>
      </c>
      <c r="Q67" s="137">
        <f t="shared" si="20"/>
        <v>310400</v>
      </c>
      <c r="R67" s="137">
        <f t="shared" si="20"/>
        <v>310400</v>
      </c>
      <c r="S67" s="137">
        <f t="shared" si="20"/>
        <v>310400</v>
      </c>
      <c r="T67" s="137">
        <f t="shared" si="20"/>
        <v>310400</v>
      </c>
      <c r="U67" s="100">
        <f t="shared" si="20"/>
        <v>310400</v>
      </c>
    </row>
    <row r="68" spans="1:21">
      <c r="C68" s="110">
        <v>2</v>
      </c>
      <c r="D68" s="135" t="s">
        <v>90</v>
      </c>
      <c r="E68" s="141">
        <f>IF(C68&gt;'2. COEFICIENTES'!$F$66,0,(1-'2. COEFICIENTES'!$F$73)*(('2. COEFICIENTES'!$F$66-MAX($C$66:C68))/SUM($C$66:$C$74)))</f>
        <v>0.15</v>
      </c>
      <c r="F68" s="142">
        <f t="shared" si="21"/>
        <v>0.625</v>
      </c>
      <c r="G68" s="99">
        <f t="shared" si="22"/>
        <v>242500</v>
      </c>
      <c r="H68" s="99">
        <f t="shared" si="20"/>
        <v>242500</v>
      </c>
      <c r="I68" s="99">
        <f t="shared" si="20"/>
        <v>242500</v>
      </c>
      <c r="J68" s="99">
        <f t="shared" si="20"/>
        <v>242500</v>
      </c>
      <c r="K68" s="99">
        <f t="shared" si="20"/>
        <v>242500</v>
      </c>
      <c r="L68" s="137">
        <f t="shared" si="20"/>
        <v>242500</v>
      </c>
      <c r="M68" s="137">
        <f t="shared" si="20"/>
        <v>242500</v>
      </c>
      <c r="N68" s="137">
        <f t="shared" si="20"/>
        <v>242500</v>
      </c>
      <c r="O68" s="137">
        <f t="shared" si="20"/>
        <v>242500</v>
      </c>
      <c r="P68" s="137">
        <f t="shared" si="20"/>
        <v>242500</v>
      </c>
      <c r="Q68" s="137">
        <f t="shared" si="20"/>
        <v>242500</v>
      </c>
      <c r="R68" s="137">
        <f t="shared" si="20"/>
        <v>242500</v>
      </c>
      <c r="S68" s="137">
        <f t="shared" si="20"/>
        <v>242500</v>
      </c>
      <c r="T68" s="137">
        <f t="shared" si="20"/>
        <v>242500</v>
      </c>
      <c r="U68" s="100">
        <f t="shared" si="20"/>
        <v>242500</v>
      </c>
    </row>
    <row r="69" spans="1:21">
      <c r="C69" s="110">
        <v>3</v>
      </c>
      <c r="D69" s="135" t="s">
        <v>91</v>
      </c>
      <c r="E69" s="141">
        <f>IF(C69&gt;'2. COEFICIENTES'!$F$66,0,(1-'2. COEFICIENTES'!$F$73)*(('2. COEFICIENTES'!$F$66-MAX($C$66:C69))/SUM($C$66:$C$74)))</f>
        <v>0.125</v>
      </c>
      <c r="F69" s="142">
        <f t="shared" si="21"/>
        <v>0.47499999999999998</v>
      </c>
      <c r="G69" s="99">
        <f t="shared" si="22"/>
        <v>184300</v>
      </c>
      <c r="H69" s="99">
        <f t="shared" si="20"/>
        <v>184300</v>
      </c>
      <c r="I69" s="99">
        <f t="shared" si="20"/>
        <v>184300</v>
      </c>
      <c r="J69" s="99">
        <f t="shared" si="20"/>
        <v>184300</v>
      </c>
      <c r="K69" s="137">
        <f t="shared" si="20"/>
        <v>184300</v>
      </c>
      <c r="L69" s="137">
        <f t="shared" si="20"/>
        <v>184300</v>
      </c>
      <c r="M69" s="137">
        <f t="shared" si="20"/>
        <v>184300</v>
      </c>
      <c r="N69" s="137">
        <f t="shared" si="20"/>
        <v>184300</v>
      </c>
      <c r="O69" s="137">
        <f t="shared" si="20"/>
        <v>184300</v>
      </c>
      <c r="P69" s="137">
        <f t="shared" si="20"/>
        <v>184300</v>
      </c>
      <c r="Q69" s="137">
        <f t="shared" si="20"/>
        <v>184300</v>
      </c>
      <c r="R69" s="137">
        <f t="shared" si="20"/>
        <v>184300</v>
      </c>
      <c r="S69" s="137">
        <f t="shared" si="20"/>
        <v>184300</v>
      </c>
      <c r="T69" s="137">
        <f t="shared" si="20"/>
        <v>184300</v>
      </c>
      <c r="U69" s="100">
        <f t="shared" si="20"/>
        <v>184300</v>
      </c>
    </row>
    <row r="70" spans="1:21">
      <c r="C70" s="110">
        <v>4</v>
      </c>
      <c r="D70" s="135" t="s">
        <v>92</v>
      </c>
      <c r="E70" s="141">
        <f>IF(C70&gt;'2. COEFICIENTES'!$F$66,0,(1-'2. COEFICIENTES'!$F$73)*(('2. COEFICIENTES'!$F$66-MAX($C$66:C70))/SUM($C$66:$C$74)))</f>
        <v>9.9999999999999992E-2</v>
      </c>
      <c r="F70" s="142">
        <f t="shared" si="21"/>
        <v>0.35</v>
      </c>
      <c r="G70" s="99">
        <f t="shared" si="22"/>
        <v>135800</v>
      </c>
      <c r="H70" s="99">
        <f t="shared" si="20"/>
        <v>135800</v>
      </c>
      <c r="I70" s="99">
        <f t="shared" si="20"/>
        <v>135800</v>
      </c>
      <c r="J70" s="99">
        <f t="shared" si="20"/>
        <v>135800</v>
      </c>
      <c r="K70" s="137">
        <f t="shared" si="20"/>
        <v>135800</v>
      </c>
      <c r="L70" s="137">
        <f t="shared" si="20"/>
        <v>135800</v>
      </c>
      <c r="M70" s="137">
        <f t="shared" si="20"/>
        <v>135800</v>
      </c>
      <c r="N70" s="137">
        <f t="shared" si="20"/>
        <v>135800</v>
      </c>
      <c r="O70" s="137">
        <f t="shared" si="20"/>
        <v>135800</v>
      </c>
      <c r="P70" s="137">
        <f t="shared" si="20"/>
        <v>135800</v>
      </c>
      <c r="Q70" s="137">
        <f t="shared" si="20"/>
        <v>135800</v>
      </c>
      <c r="R70" s="137">
        <f t="shared" si="20"/>
        <v>135800</v>
      </c>
      <c r="S70" s="137">
        <f t="shared" si="20"/>
        <v>135800</v>
      </c>
      <c r="T70" s="137">
        <f t="shared" si="20"/>
        <v>135800</v>
      </c>
      <c r="U70" s="100">
        <f t="shared" si="20"/>
        <v>135800</v>
      </c>
    </row>
    <row r="71" spans="1:21">
      <c r="C71" s="110">
        <v>5</v>
      </c>
      <c r="D71" s="135" t="s">
        <v>93</v>
      </c>
      <c r="E71" s="141">
        <f>IF(C71&gt;'2. COEFICIENTES'!$F$66,0,(1-'2. COEFICIENTES'!$F$73)*(('2. COEFICIENTES'!$F$66-MAX($C$66:C71))/SUM($C$66:$C$74)))</f>
        <v>7.4999999999999997E-2</v>
      </c>
      <c r="F71" s="142">
        <f t="shared" si="21"/>
        <v>0.25</v>
      </c>
      <c r="G71" s="99">
        <f t="shared" si="22"/>
        <v>97000</v>
      </c>
      <c r="H71" s="99">
        <f t="shared" si="20"/>
        <v>97000</v>
      </c>
      <c r="I71" s="99">
        <f t="shared" si="20"/>
        <v>97000</v>
      </c>
      <c r="J71" s="137">
        <f t="shared" si="20"/>
        <v>97000</v>
      </c>
      <c r="K71" s="137">
        <f t="shared" si="20"/>
        <v>97000</v>
      </c>
      <c r="L71" s="137">
        <f t="shared" si="20"/>
        <v>97000</v>
      </c>
      <c r="M71" s="137">
        <f t="shared" si="20"/>
        <v>97000</v>
      </c>
      <c r="N71" s="137">
        <f t="shared" si="20"/>
        <v>97000</v>
      </c>
      <c r="O71" s="137">
        <f t="shared" si="20"/>
        <v>97000</v>
      </c>
      <c r="P71" s="137">
        <f t="shared" si="20"/>
        <v>97000</v>
      </c>
      <c r="Q71" s="137">
        <f t="shared" si="20"/>
        <v>97000</v>
      </c>
      <c r="R71" s="137">
        <f t="shared" si="20"/>
        <v>97000</v>
      </c>
      <c r="S71" s="137">
        <f t="shared" si="20"/>
        <v>97000</v>
      </c>
      <c r="T71" s="137">
        <f t="shared" si="20"/>
        <v>97000</v>
      </c>
      <c r="U71" s="100">
        <f t="shared" si="20"/>
        <v>97000</v>
      </c>
    </row>
    <row r="72" spans="1:21">
      <c r="C72" s="110">
        <v>6</v>
      </c>
      <c r="D72" s="135" t="s">
        <v>94</v>
      </c>
      <c r="E72" s="141">
        <f>IF(C72&gt;'2. COEFICIENTES'!$F$66,0,(1-'2. COEFICIENTES'!$F$73)*(('2. COEFICIENTES'!$F$66-MAX($C$66:C72))/SUM($C$66:$C$74)))</f>
        <v>4.9999999999999996E-2</v>
      </c>
      <c r="F72" s="142">
        <f t="shared" si="21"/>
        <v>0.17499999999999999</v>
      </c>
      <c r="G72" s="99">
        <f t="shared" si="22"/>
        <v>67900</v>
      </c>
      <c r="H72" s="99">
        <f t="shared" si="20"/>
        <v>67900</v>
      </c>
      <c r="I72" s="99">
        <f t="shared" si="20"/>
        <v>67900</v>
      </c>
      <c r="J72" s="137">
        <f t="shared" si="20"/>
        <v>67900</v>
      </c>
      <c r="K72" s="137">
        <f t="shared" si="20"/>
        <v>67900</v>
      </c>
      <c r="L72" s="137">
        <f t="shared" si="20"/>
        <v>67900</v>
      </c>
      <c r="M72" s="137">
        <f t="shared" si="20"/>
        <v>67900</v>
      </c>
      <c r="N72" s="137">
        <f t="shared" si="20"/>
        <v>67900</v>
      </c>
      <c r="O72" s="137">
        <f t="shared" si="20"/>
        <v>67900</v>
      </c>
      <c r="P72" s="137">
        <f t="shared" si="20"/>
        <v>67900</v>
      </c>
      <c r="Q72" s="137">
        <f t="shared" si="20"/>
        <v>67900</v>
      </c>
      <c r="R72" s="137">
        <f t="shared" si="20"/>
        <v>67900</v>
      </c>
      <c r="S72" s="137">
        <f t="shared" si="20"/>
        <v>67900</v>
      </c>
      <c r="T72" s="137">
        <f t="shared" si="20"/>
        <v>67900</v>
      </c>
      <c r="U72" s="100">
        <f t="shared" si="20"/>
        <v>67900</v>
      </c>
    </row>
    <row r="73" spans="1:21">
      <c r="C73" s="110">
        <v>7</v>
      </c>
      <c r="D73" s="135" t="s">
        <v>95</v>
      </c>
      <c r="E73" s="141">
        <f>IF(C73&gt;'2. COEFICIENTES'!$F$66,0,(1-'2. COEFICIENTES'!$F$73)*(('2. COEFICIENTES'!$F$66-MAX($C$66:C73))/SUM($C$66:$C$74)))</f>
        <v>2.4999999999999998E-2</v>
      </c>
      <c r="F73" s="142">
        <f t="shared" si="21"/>
        <v>0.125</v>
      </c>
      <c r="G73" s="99">
        <f t="shared" si="22"/>
        <v>48500</v>
      </c>
      <c r="H73" s="99">
        <f t="shared" si="20"/>
        <v>48500</v>
      </c>
      <c r="I73" s="137">
        <f t="shared" si="20"/>
        <v>48500</v>
      </c>
      <c r="J73" s="137">
        <f t="shared" si="20"/>
        <v>48500</v>
      </c>
      <c r="K73" s="137">
        <f t="shared" si="20"/>
        <v>48500</v>
      </c>
      <c r="L73" s="137">
        <f t="shared" si="20"/>
        <v>48500</v>
      </c>
      <c r="M73" s="137">
        <f t="shared" si="20"/>
        <v>48500</v>
      </c>
      <c r="N73" s="137">
        <f t="shared" si="20"/>
        <v>48500</v>
      </c>
      <c r="O73" s="137">
        <f t="shared" si="20"/>
        <v>48500</v>
      </c>
      <c r="P73" s="137">
        <f t="shared" si="20"/>
        <v>48500</v>
      </c>
      <c r="Q73" s="137">
        <f t="shared" si="20"/>
        <v>48500</v>
      </c>
      <c r="R73" s="137">
        <f t="shared" si="20"/>
        <v>48500</v>
      </c>
      <c r="S73" s="137">
        <f t="shared" si="20"/>
        <v>48500</v>
      </c>
      <c r="T73" s="137">
        <f t="shared" si="20"/>
        <v>48500</v>
      </c>
      <c r="U73" s="100">
        <f t="shared" si="20"/>
        <v>48500</v>
      </c>
    </row>
    <row r="74" spans="1:21">
      <c r="C74" s="110">
        <v>8</v>
      </c>
      <c r="D74" s="135" t="s">
        <v>96</v>
      </c>
      <c r="E74" s="141">
        <f>IF(C74&gt;'2. COEFICIENTES'!$F$66,0,(1-'2. COEFICIENTES'!$F$73)*(('2. COEFICIENTES'!$F$66-MAX($C$66:C74))/SUM($C$66:$C$74)))</f>
        <v>0</v>
      </c>
      <c r="F74" s="142">
        <f>F73-E73</f>
        <v>0.1</v>
      </c>
      <c r="G74" s="99">
        <f t="shared" si="22"/>
        <v>38800</v>
      </c>
      <c r="H74" s="99">
        <f t="shared" si="20"/>
        <v>38800</v>
      </c>
      <c r="I74" s="137">
        <f t="shared" si="20"/>
        <v>38800</v>
      </c>
      <c r="J74" s="137">
        <f t="shared" si="20"/>
        <v>38800</v>
      </c>
      <c r="K74" s="137">
        <f t="shared" si="20"/>
        <v>38800</v>
      </c>
      <c r="L74" s="137">
        <f t="shared" si="20"/>
        <v>38800</v>
      </c>
      <c r="M74" s="137">
        <f t="shared" si="20"/>
        <v>38800</v>
      </c>
      <c r="N74" s="137">
        <f t="shared" si="20"/>
        <v>38800</v>
      </c>
      <c r="O74" s="137">
        <f t="shared" si="20"/>
        <v>38800</v>
      </c>
      <c r="P74" s="137">
        <f t="shared" si="20"/>
        <v>38800</v>
      </c>
      <c r="Q74" s="137">
        <f t="shared" si="20"/>
        <v>38800</v>
      </c>
      <c r="R74" s="137">
        <f t="shared" si="20"/>
        <v>38800</v>
      </c>
      <c r="S74" s="137">
        <f t="shared" si="20"/>
        <v>38800</v>
      </c>
      <c r="T74" s="137">
        <f t="shared" si="20"/>
        <v>38800</v>
      </c>
      <c r="U74" s="100">
        <f t="shared" si="20"/>
        <v>38800</v>
      </c>
    </row>
    <row r="75" spans="1:21">
      <c r="C75" s="110">
        <v>9</v>
      </c>
      <c r="D75" s="135" t="s">
        <v>97</v>
      </c>
      <c r="E75" s="141">
        <f>IF(C75&gt;'2. COEFICIENTES'!$F$66,0,(1-'2. COEFICIENTES'!$F$73)*(('2. COEFICIENTES'!$F$66-MAX($C$66:C75))/SUM($C$66:$C$74)))</f>
        <v>0</v>
      </c>
      <c r="F75" s="142">
        <f>IF(E74=0,0,F74-E74)</f>
        <v>0</v>
      </c>
      <c r="G75" s="99">
        <f t="shared" si="22"/>
        <v>0</v>
      </c>
      <c r="H75" s="137">
        <f t="shared" si="20"/>
        <v>0</v>
      </c>
      <c r="I75" s="137">
        <f t="shared" si="20"/>
        <v>0</v>
      </c>
      <c r="J75" s="137">
        <f t="shared" si="20"/>
        <v>0</v>
      </c>
      <c r="K75" s="137">
        <f t="shared" si="20"/>
        <v>0</v>
      </c>
      <c r="L75" s="137">
        <f t="shared" si="20"/>
        <v>0</v>
      </c>
      <c r="M75" s="137">
        <f t="shared" si="20"/>
        <v>0</v>
      </c>
      <c r="N75" s="137">
        <f t="shared" si="20"/>
        <v>0</v>
      </c>
      <c r="O75" s="137">
        <f t="shared" si="20"/>
        <v>0</v>
      </c>
      <c r="P75" s="137">
        <f t="shared" si="20"/>
        <v>0</v>
      </c>
      <c r="Q75" s="137">
        <f t="shared" si="20"/>
        <v>0</v>
      </c>
      <c r="R75" s="137">
        <f t="shared" si="20"/>
        <v>0</v>
      </c>
      <c r="S75" s="137">
        <f t="shared" si="20"/>
        <v>0</v>
      </c>
      <c r="T75" s="137">
        <f t="shared" si="20"/>
        <v>0</v>
      </c>
      <c r="U75" s="100">
        <f t="shared" si="20"/>
        <v>0</v>
      </c>
    </row>
    <row r="76" spans="1:21">
      <c r="C76" s="143">
        <v>10</v>
      </c>
      <c r="D76" s="144" t="s">
        <v>98</v>
      </c>
      <c r="E76" s="145">
        <f>IF(C76&gt;'2. COEFICIENTES'!$F$66,0,(1-'2. COEFICIENTES'!$F$73)*(('2. COEFICIENTES'!$F$66-MAX($C$66:C76))/SUM($C$66:$C$74)))</f>
        <v>0</v>
      </c>
      <c r="F76" s="146">
        <f>IF(E75=0,0,F75-E75)</f>
        <v>0</v>
      </c>
      <c r="G76" s="134">
        <f t="shared" si="22"/>
        <v>0</v>
      </c>
      <c r="H76" s="138">
        <f t="shared" si="20"/>
        <v>0</v>
      </c>
      <c r="I76" s="138">
        <f t="shared" si="20"/>
        <v>0</v>
      </c>
      <c r="J76" s="138">
        <f t="shared" si="20"/>
        <v>0</v>
      </c>
      <c r="K76" s="138">
        <f t="shared" si="20"/>
        <v>0</v>
      </c>
      <c r="L76" s="138">
        <f t="shared" si="20"/>
        <v>0</v>
      </c>
      <c r="M76" s="138">
        <f t="shared" si="20"/>
        <v>0</v>
      </c>
      <c r="N76" s="138">
        <f t="shared" si="20"/>
        <v>0</v>
      </c>
      <c r="O76" s="138">
        <f t="shared" si="20"/>
        <v>0</v>
      </c>
      <c r="P76" s="138">
        <f t="shared" si="20"/>
        <v>0</v>
      </c>
      <c r="Q76" s="138">
        <f t="shared" si="20"/>
        <v>0</v>
      </c>
      <c r="R76" s="138">
        <f t="shared" si="20"/>
        <v>0</v>
      </c>
      <c r="S76" s="138">
        <f t="shared" si="20"/>
        <v>0</v>
      </c>
      <c r="T76" s="138">
        <f t="shared" si="20"/>
        <v>0</v>
      </c>
      <c r="U76" s="151">
        <f t="shared" si="20"/>
        <v>0</v>
      </c>
    </row>
    <row r="78" spans="1:21" ht="15.75">
      <c r="A78" s="2">
        <v>3</v>
      </c>
      <c r="C78" s="381" t="str">
        <f>+MENU!$C$49</f>
        <v>3.4.1.3 - PREÇO DE VEÍCULO COM FATOR DE DEPRECIAÇÃO -  -</v>
      </c>
    </row>
    <row r="79" spans="1:21">
      <c r="C79" s="4"/>
    </row>
    <row r="80" spans="1:21" ht="26.25" customHeight="1">
      <c r="C80" s="694" t="s">
        <v>86</v>
      </c>
      <c r="D80" s="696"/>
      <c r="E80" s="577" t="s">
        <v>108</v>
      </c>
      <c r="F80" s="577" t="s">
        <v>109</v>
      </c>
      <c r="G80" s="578">
        <v>1</v>
      </c>
      <c r="H80" s="572">
        <f t="shared" ref="H80:U80" si="23">+G80+1</f>
        <v>2</v>
      </c>
      <c r="I80" s="572">
        <f t="shared" si="23"/>
        <v>3</v>
      </c>
      <c r="J80" s="572">
        <f t="shared" si="23"/>
        <v>4</v>
      </c>
      <c r="K80" s="572">
        <f t="shared" si="23"/>
        <v>5</v>
      </c>
      <c r="L80" s="572">
        <f t="shared" si="23"/>
        <v>6</v>
      </c>
      <c r="M80" s="572">
        <f t="shared" si="23"/>
        <v>7</v>
      </c>
      <c r="N80" s="572">
        <f t="shared" si="23"/>
        <v>8</v>
      </c>
      <c r="O80" s="572">
        <f t="shared" si="23"/>
        <v>9</v>
      </c>
      <c r="P80" s="572">
        <f t="shared" si="23"/>
        <v>10</v>
      </c>
      <c r="Q80" s="572">
        <f t="shared" si="23"/>
        <v>11</v>
      </c>
      <c r="R80" s="572">
        <f t="shared" si="23"/>
        <v>12</v>
      </c>
      <c r="S80" s="572">
        <f t="shared" si="23"/>
        <v>13</v>
      </c>
      <c r="T80" s="572">
        <f t="shared" si="23"/>
        <v>14</v>
      </c>
      <c r="U80" s="573">
        <f t="shared" si="23"/>
        <v>15</v>
      </c>
    </row>
    <row r="81" spans="3:21">
      <c r="C81" s="110">
        <v>0</v>
      </c>
      <c r="D81" s="135" t="s">
        <v>87</v>
      </c>
      <c r="E81" s="139">
        <f>(1-'2. COEFICIENTES'!$F$74)*('2. COEFICIENTES'!$F$67/SUM($C$81:$C$91))</f>
        <v>0</v>
      </c>
      <c r="F81" s="140">
        <v>1</v>
      </c>
      <c r="G81" s="133">
        <f>G$46*$F81</f>
        <v>0</v>
      </c>
      <c r="H81" s="133">
        <f t="shared" ref="H81:U91" si="24">H$46*$F81</f>
        <v>0</v>
      </c>
      <c r="I81" s="133">
        <f t="shared" si="24"/>
        <v>0</v>
      </c>
      <c r="J81" s="133">
        <f t="shared" si="24"/>
        <v>0</v>
      </c>
      <c r="K81" s="133">
        <f t="shared" si="24"/>
        <v>0</v>
      </c>
      <c r="L81" s="133">
        <f t="shared" si="24"/>
        <v>0</v>
      </c>
      <c r="M81" s="136">
        <f t="shared" si="24"/>
        <v>0</v>
      </c>
      <c r="N81" s="136">
        <f t="shared" si="24"/>
        <v>0</v>
      </c>
      <c r="O81" s="136">
        <f t="shared" si="24"/>
        <v>0</v>
      </c>
      <c r="P81" s="136">
        <f t="shared" si="24"/>
        <v>0</v>
      </c>
      <c r="Q81" s="136">
        <f t="shared" si="24"/>
        <v>0</v>
      </c>
      <c r="R81" s="136">
        <f t="shared" si="24"/>
        <v>0</v>
      </c>
      <c r="S81" s="136">
        <f t="shared" si="24"/>
        <v>0</v>
      </c>
      <c r="T81" s="136">
        <f t="shared" si="24"/>
        <v>0</v>
      </c>
      <c r="U81" s="147">
        <f t="shared" si="24"/>
        <v>0</v>
      </c>
    </row>
    <row r="82" spans="3:21">
      <c r="C82" s="110">
        <v>1</v>
      </c>
      <c r="D82" s="135" t="s">
        <v>89</v>
      </c>
      <c r="E82" s="141">
        <f>IF(C82&gt;'2. COEFICIENTES'!$F$67,0,(1-'2. COEFICIENTES'!$F$74)*(('2. COEFICIENTES'!$F$67-MAX($C$81:C82))/SUM($C$81:$C$91)))</f>
        <v>0</v>
      </c>
      <c r="F82" s="142">
        <f t="shared" ref="F82:F88" si="25">F81-E81</f>
        <v>1</v>
      </c>
      <c r="G82" s="99">
        <f t="shared" ref="G82:G91" si="26">G$46*$F82</f>
        <v>0</v>
      </c>
      <c r="H82" s="99">
        <f t="shared" si="24"/>
        <v>0</v>
      </c>
      <c r="I82" s="99">
        <f t="shared" si="24"/>
        <v>0</v>
      </c>
      <c r="J82" s="99">
        <f t="shared" si="24"/>
        <v>0</v>
      </c>
      <c r="K82" s="99">
        <f t="shared" si="24"/>
        <v>0</v>
      </c>
      <c r="L82" s="137">
        <f t="shared" si="24"/>
        <v>0</v>
      </c>
      <c r="M82" s="137">
        <f t="shared" si="24"/>
        <v>0</v>
      </c>
      <c r="N82" s="137">
        <f t="shared" si="24"/>
        <v>0</v>
      </c>
      <c r="O82" s="137">
        <f t="shared" si="24"/>
        <v>0</v>
      </c>
      <c r="P82" s="137">
        <f t="shared" si="24"/>
        <v>0</v>
      </c>
      <c r="Q82" s="137">
        <f t="shared" si="24"/>
        <v>0</v>
      </c>
      <c r="R82" s="137">
        <f t="shared" si="24"/>
        <v>0</v>
      </c>
      <c r="S82" s="137">
        <f t="shared" si="24"/>
        <v>0</v>
      </c>
      <c r="T82" s="137">
        <f t="shared" si="24"/>
        <v>0</v>
      </c>
      <c r="U82" s="148">
        <f t="shared" si="24"/>
        <v>0</v>
      </c>
    </row>
    <row r="83" spans="3:21">
      <c r="C83" s="110">
        <v>2</v>
      </c>
      <c r="D83" s="135" t="s">
        <v>90</v>
      </c>
      <c r="E83" s="141">
        <f>IF(C83&gt;'2. COEFICIENTES'!$F$67,0,(1-'2. COEFICIENTES'!$F$74)*(('2. COEFICIENTES'!$F$67-MAX($C$81:C83))/SUM($C$81:$C$91)))</f>
        <v>0</v>
      </c>
      <c r="F83" s="142">
        <f t="shared" si="25"/>
        <v>1</v>
      </c>
      <c r="G83" s="99">
        <f t="shared" si="26"/>
        <v>0</v>
      </c>
      <c r="H83" s="99">
        <f t="shared" si="24"/>
        <v>0</v>
      </c>
      <c r="I83" s="99">
        <f t="shared" si="24"/>
        <v>0</v>
      </c>
      <c r="J83" s="99">
        <f t="shared" si="24"/>
        <v>0</v>
      </c>
      <c r="K83" s="99">
        <f t="shared" si="24"/>
        <v>0</v>
      </c>
      <c r="L83" s="137">
        <f t="shared" si="24"/>
        <v>0</v>
      </c>
      <c r="M83" s="137">
        <f t="shared" si="24"/>
        <v>0</v>
      </c>
      <c r="N83" s="137">
        <f t="shared" si="24"/>
        <v>0</v>
      </c>
      <c r="O83" s="137">
        <f t="shared" si="24"/>
        <v>0</v>
      </c>
      <c r="P83" s="137">
        <f t="shared" si="24"/>
        <v>0</v>
      </c>
      <c r="Q83" s="137">
        <f t="shared" si="24"/>
        <v>0</v>
      </c>
      <c r="R83" s="137">
        <f t="shared" si="24"/>
        <v>0</v>
      </c>
      <c r="S83" s="137">
        <f t="shared" si="24"/>
        <v>0</v>
      </c>
      <c r="T83" s="137">
        <f t="shared" si="24"/>
        <v>0</v>
      </c>
      <c r="U83" s="148">
        <f t="shared" si="24"/>
        <v>0</v>
      </c>
    </row>
    <row r="84" spans="3:21">
      <c r="C84" s="110">
        <v>3</v>
      </c>
      <c r="D84" s="135" t="s">
        <v>91</v>
      </c>
      <c r="E84" s="141">
        <f>IF(C84&gt;'2. COEFICIENTES'!$F$67,0,(1-'2. COEFICIENTES'!$F$74)*(('2. COEFICIENTES'!$F$67-MAX($C$81:C84))/SUM($C$81:$C$91)))</f>
        <v>0</v>
      </c>
      <c r="F84" s="142">
        <f t="shared" si="25"/>
        <v>1</v>
      </c>
      <c r="G84" s="99">
        <f t="shared" si="26"/>
        <v>0</v>
      </c>
      <c r="H84" s="99">
        <f t="shared" si="24"/>
        <v>0</v>
      </c>
      <c r="I84" s="99">
        <f t="shared" si="24"/>
        <v>0</v>
      </c>
      <c r="J84" s="99">
        <f t="shared" si="24"/>
        <v>0</v>
      </c>
      <c r="K84" s="137">
        <f t="shared" si="24"/>
        <v>0</v>
      </c>
      <c r="L84" s="137">
        <f t="shared" si="24"/>
        <v>0</v>
      </c>
      <c r="M84" s="137">
        <f t="shared" si="24"/>
        <v>0</v>
      </c>
      <c r="N84" s="137">
        <f t="shared" si="24"/>
        <v>0</v>
      </c>
      <c r="O84" s="137">
        <f t="shared" si="24"/>
        <v>0</v>
      </c>
      <c r="P84" s="137">
        <f t="shared" si="24"/>
        <v>0</v>
      </c>
      <c r="Q84" s="137">
        <f t="shared" si="24"/>
        <v>0</v>
      </c>
      <c r="R84" s="137">
        <f t="shared" si="24"/>
        <v>0</v>
      </c>
      <c r="S84" s="137">
        <f t="shared" si="24"/>
        <v>0</v>
      </c>
      <c r="T84" s="137">
        <f t="shared" si="24"/>
        <v>0</v>
      </c>
      <c r="U84" s="148">
        <f t="shared" si="24"/>
        <v>0</v>
      </c>
    </row>
    <row r="85" spans="3:21">
      <c r="C85" s="110">
        <v>4</v>
      </c>
      <c r="D85" s="135" t="s">
        <v>92</v>
      </c>
      <c r="E85" s="141">
        <f>IF(C85&gt;'2. COEFICIENTES'!$F$67,0,(1-'2. COEFICIENTES'!$F$74)*(('2. COEFICIENTES'!$F$67-MAX($C$81:C85))/SUM($C$81:$C$91)))</f>
        <v>0</v>
      </c>
      <c r="F85" s="142">
        <f t="shared" si="25"/>
        <v>1</v>
      </c>
      <c r="G85" s="99">
        <f t="shared" si="26"/>
        <v>0</v>
      </c>
      <c r="H85" s="99">
        <f t="shared" si="24"/>
        <v>0</v>
      </c>
      <c r="I85" s="99">
        <f t="shared" si="24"/>
        <v>0</v>
      </c>
      <c r="J85" s="99">
        <f t="shared" si="24"/>
        <v>0</v>
      </c>
      <c r="K85" s="137">
        <f t="shared" si="24"/>
        <v>0</v>
      </c>
      <c r="L85" s="137">
        <f t="shared" si="24"/>
        <v>0</v>
      </c>
      <c r="M85" s="137">
        <f t="shared" si="24"/>
        <v>0</v>
      </c>
      <c r="N85" s="137">
        <f t="shared" si="24"/>
        <v>0</v>
      </c>
      <c r="O85" s="137">
        <f t="shared" si="24"/>
        <v>0</v>
      </c>
      <c r="P85" s="137">
        <f t="shared" si="24"/>
        <v>0</v>
      </c>
      <c r="Q85" s="137">
        <f t="shared" si="24"/>
        <v>0</v>
      </c>
      <c r="R85" s="137">
        <f t="shared" si="24"/>
        <v>0</v>
      </c>
      <c r="S85" s="137">
        <f t="shared" si="24"/>
        <v>0</v>
      </c>
      <c r="T85" s="137">
        <f t="shared" si="24"/>
        <v>0</v>
      </c>
      <c r="U85" s="148">
        <f t="shared" si="24"/>
        <v>0</v>
      </c>
    </row>
    <row r="86" spans="3:21">
      <c r="C86" s="110">
        <v>5</v>
      </c>
      <c r="D86" s="135" t="s">
        <v>93</v>
      </c>
      <c r="E86" s="141">
        <f>IF(C86&gt;'2. COEFICIENTES'!$F$67,0,(1-'2. COEFICIENTES'!$F$74)*(('2. COEFICIENTES'!$F$67-MAX($C$81:C86))/SUM($C$81:$C$91)))</f>
        <v>0</v>
      </c>
      <c r="F86" s="142">
        <f t="shared" si="25"/>
        <v>1</v>
      </c>
      <c r="G86" s="99">
        <f t="shared" si="26"/>
        <v>0</v>
      </c>
      <c r="H86" s="99">
        <f t="shared" si="24"/>
        <v>0</v>
      </c>
      <c r="I86" s="99">
        <f t="shared" si="24"/>
        <v>0</v>
      </c>
      <c r="J86" s="137">
        <f t="shared" si="24"/>
        <v>0</v>
      </c>
      <c r="K86" s="137">
        <f t="shared" si="24"/>
        <v>0</v>
      </c>
      <c r="L86" s="137">
        <f t="shared" si="24"/>
        <v>0</v>
      </c>
      <c r="M86" s="137">
        <f t="shared" si="24"/>
        <v>0</v>
      </c>
      <c r="N86" s="137">
        <f t="shared" si="24"/>
        <v>0</v>
      </c>
      <c r="O86" s="137">
        <f t="shared" si="24"/>
        <v>0</v>
      </c>
      <c r="P86" s="137">
        <f t="shared" si="24"/>
        <v>0</v>
      </c>
      <c r="Q86" s="137">
        <f t="shared" si="24"/>
        <v>0</v>
      </c>
      <c r="R86" s="137">
        <f t="shared" si="24"/>
        <v>0</v>
      </c>
      <c r="S86" s="137">
        <f t="shared" si="24"/>
        <v>0</v>
      </c>
      <c r="T86" s="137">
        <f t="shared" si="24"/>
        <v>0</v>
      </c>
      <c r="U86" s="148">
        <f t="shared" si="24"/>
        <v>0</v>
      </c>
    </row>
    <row r="87" spans="3:21">
      <c r="C87" s="110">
        <v>6</v>
      </c>
      <c r="D87" s="135" t="s">
        <v>94</v>
      </c>
      <c r="E87" s="141">
        <f>IF(C87&gt;'2. COEFICIENTES'!$F$67,0,(1-'2. COEFICIENTES'!$F$74)*(('2. COEFICIENTES'!$F$67-MAX($C$81:C87))/SUM($C$81:$C$91)))</f>
        <v>0</v>
      </c>
      <c r="F87" s="142">
        <f t="shared" si="25"/>
        <v>1</v>
      </c>
      <c r="G87" s="99">
        <f t="shared" si="26"/>
        <v>0</v>
      </c>
      <c r="H87" s="99">
        <f t="shared" si="24"/>
        <v>0</v>
      </c>
      <c r="I87" s="99">
        <f t="shared" si="24"/>
        <v>0</v>
      </c>
      <c r="J87" s="137">
        <f t="shared" si="24"/>
        <v>0</v>
      </c>
      <c r="K87" s="137">
        <f t="shared" si="24"/>
        <v>0</v>
      </c>
      <c r="L87" s="137">
        <f t="shared" si="24"/>
        <v>0</v>
      </c>
      <c r="M87" s="137">
        <f t="shared" si="24"/>
        <v>0</v>
      </c>
      <c r="N87" s="137">
        <f t="shared" si="24"/>
        <v>0</v>
      </c>
      <c r="O87" s="137">
        <f t="shared" si="24"/>
        <v>0</v>
      </c>
      <c r="P87" s="137">
        <f t="shared" si="24"/>
        <v>0</v>
      </c>
      <c r="Q87" s="137">
        <f t="shared" si="24"/>
        <v>0</v>
      </c>
      <c r="R87" s="137">
        <f t="shared" si="24"/>
        <v>0</v>
      </c>
      <c r="S87" s="137">
        <f t="shared" si="24"/>
        <v>0</v>
      </c>
      <c r="T87" s="137">
        <f t="shared" si="24"/>
        <v>0</v>
      </c>
      <c r="U87" s="148">
        <f t="shared" si="24"/>
        <v>0</v>
      </c>
    </row>
    <row r="88" spans="3:21">
      <c r="C88" s="110">
        <v>7</v>
      </c>
      <c r="D88" s="135" t="s">
        <v>95</v>
      </c>
      <c r="E88" s="141">
        <f>IF(C88&gt;'2. COEFICIENTES'!$F$67,0,(1-'2. COEFICIENTES'!$F$74)*(('2. COEFICIENTES'!$F$67-MAX($C$81:C88))/SUM($C$81:$C$91)))</f>
        <v>0</v>
      </c>
      <c r="F88" s="142">
        <f t="shared" si="25"/>
        <v>1</v>
      </c>
      <c r="G88" s="99">
        <f t="shared" si="26"/>
        <v>0</v>
      </c>
      <c r="H88" s="99">
        <f t="shared" si="24"/>
        <v>0</v>
      </c>
      <c r="I88" s="137">
        <f t="shared" si="24"/>
        <v>0</v>
      </c>
      <c r="J88" s="137">
        <f t="shared" si="24"/>
        <v>0</v>
      </c>
      <c r="K88" s="137">
        <f t="shared" si="24"/>
        <v>0</v>
      </c>
      <c r="L88" s="137">
        <f t="shared" si="24"/>
        <v>0</v>
      </c>
      <c r="M88" s="137">
        <f t="shared" si="24"/>
        <v>0</v>
      </c>
      <c r="N88" s="137">
        <f t="shared" si="24"/>
        <v>0</v>
      </c>
      <c r="O88" s="137">
        <f t="shared" si="24"/>
        <v>0</v>
      </c>
      <c r="P88" s="137">
        <f t="shared" si="24"/>
        <v>0</v>
      </c>
      <c r="Q88" s="137">
        <f t="shared" si="24"/>
        <v>0</v>
      </c>
      <c r="R88" s="137">
        <f t="shared" si="24"/>
        <v>0</v>
      </c>
      <c r="S88" s="137">
        <f t="shared" si="24"/>
        <v>0</v>
      </c>
      <c r="T88" s="137">
        <f t="shared" si="24"/>
        <v>0</v>
      </c>
      <c r="U88" s="148">
        <f t="shared" si="24"/>
        <v>0</v>
      </c>
    </row>
    <row r="89" spans="3:21">
      <c r="C89" s="110">
        <v>8</v>
      </c>
      <c r="D89" s="135" t="s">
        <v>96</v>
      </c>
      <c r="E89" s="141">
        <f>IF(C89&gt;'2. COEFICIENTES'!$F$67,0,(1-'2. COEFICIENTES'!$F$74)*(('2. COEFICIENTES'!$F$67-MAX($C$81:C89))/SUM($C$81:$C$91)))</f>
        <v>0</v>
      </c>
      <c r="F89" s="142">
        <f>F88-E88</f>
        <v>1</v>
      </c>
      <c r="G89" s="99">
        <f t="shared" si="26"/>
        <v>0</v>
      </c>
      <c r="H89" s="99">
        <f t="shared" si="24"/>
        <v>0</v>
      </c>
      <c r="I89" s="137">
        <f t="shared" si="24"/>
        <v>0</v>
      </c>
      <c r="J89" s="137">
        <f t="shared" si="24"/>
        <v>0</v>
      </c>
      <c r="K89" s="137">
        <f t="shared" si="24"/>
        <v>0</v>
      </c>
      <c r="L89" s="137">
        <f t="shared" si="24"/>
        <v>0</v>
      </c>
      <c r="M89" s="137">
        <f t="shared" si="24"/>
        <v>0</v>
      </c>
      <c r="N89" s="137">
        <f t="shared" si="24"/>
        <v>0</v>
      </c>
      <c r="O89" s="137">
        <f t="shared" si="24"/>
        <v>0</v>
      </c>
      <c r="P89" s="137">
        <f t="shared" si="24"/>
        <v>0</v>
      </c>
      <c r="Q89" s="137">
        <f t="shared" si="24"/>
        <v>0</v>
      </c>
      <c r="R89" s="137">
        <f t="shared" si="24"/>
        <v>0</v>
      </c>
      <c r="S89" s="137">
        <f t="shared" si="24"/>
        <v>0</v>
      </c>
      <c r="T89" s="137">
        <f t="shared" si="24"/>
        <v>0</v>
      </c>
      <c r="U89" s="148">
        <f t="shared" si="24"/>
        <v>0</v>
      </c>
    </row>
    <row r="90" spans="3:21">
      <c r="C90" s="110">
        <v>9</v>
      </c>
      <c r="D90" s="135" t="s">
        <v>97</v>
      </c>
      <c r="E90" s="141">
        <f>IF(C90&gt;'2. COEFICIENTES'!$F$67,0,(1-'2. COEFICIENTES'!$F$74)*(('2. COEFICIENTES'!$F$67-MAX($C$81:C90))/SUM($C$81:$C$91)))</f>
        <v>0</v>
      </c>
      <c r="F90" s="142">
        <f>IF(E89=0,0,F89-E89)</f>
        <v>0</v>
      </c>
      <c r="G90" s="99">
        <f t="shared" si="26"/>
        <v>0</v>
      </c>
      <c r="H90" s="137">
        <f t="shared" si="24"/>
        <v>0</v>
      </c>
      <c r="I90" s="137">
        <f t="shared" si="24"/>
        <v>0</v>
      </c>
      <c r="J90" s="137">
        <f t="shared" si="24"/>
        <v>0</v>
      </c>
      <c r="K90" s="137">
        <f t="shared" si="24"/>
        <v>0</v>
      </c>
      <c r="L90" s="137">
        <f t="shared" si="24"/>
        <v>0</v>
      </c>
      <c r="M90" s="137">
        <f t="shared" si="24"/>
        <v>0</v>
      </c>
      <c r="N90" s="137">
        <f t="shared" si="24"/>
        <v>0</v>
      </c>
      <c r="O90" s="137">
        <f t="shared" si="24"/>
        <v>0</v>
      </c>
      <c r="P90" s="137">
        <f t="shared" si="24"/>
        <v>0</v>
      </c>
      <c r="Q90" s="137">
        <f t="shared" si="24"/>
        <v>0</v>
      </c>
      <c r="R90" s="137">
        <f t="shared" si="24"/>
        <v>0</v>
      </c>
      <c r="S90" s="137">
        <f t="shared" si="24"/>
        <v>0</v>
      </c>
      <c r="T90" s="137">
        <f t="shared" si="24"/>
        <v>0</v>
      </c>
      <c r="U90" s="148">
        <f t="shared" si="24"/>
        <v>0</v>
      </c>
    </row>
    <row r="91" spans="3:21">
      <c r="C91" s="143">
        <v>10</v>
      </c>
      <c r="D91" s="144" t="s">
        <v>98</v>
      </c>
      <c r="E91" s="145">
        <f>IF(C91&gt;'2. COEFICIENTES'!$F$67,0,(1-'2. COEFICIENTES'!$F$74)*(('2. COEFICIENTES'!$F$67-MAX($C$81:C91))/SUM($C$81:$C$91)))</f>
        <v>0</v>
      </c>
      <c r="F91" s="146">
        <f>IF(E90=0,0,F90-E90)</f>
        <v>0</v>
      </c>
      <c r="G91" s="134">
        <f t="shared" si="26"/>
        <v>0</v>
      </c>
      <c r="H91" s="138">
        <f t="shared" si="24"/>
        <v>0</v>
      </c>
      <c r="I91" s="138">
        <f t="shared" si="24"/>
        <v>0</v>
      </c>
      <c r="J91" s="138">
        <f t="shared" si="24"/>
        <v>0</v>
      </c>
      <c r="K91" s="138">
        <f t="shared" si="24"/>
        <v>0</v>
      </c>
      <c r="L91" s="138">
        <f t="shared" si="24"/>
        <v>0</v>
      </c>
      <c r="M91" s="138">
        <f t="shared" si="24"/>
        <v>0</v>
      </c>
      <c r="N91" s="138">
        <f t="shared" si="24"/>
        <v>0</v>
      </c>
      <c r="O91" s="138">
        <f t="shared" si="24"/>
        <v>0</v>
      </c>
      <c r="P91" s="138">
        <f t="shared" si="24"/>
        <v>0</v>
      </c>
      <c r="Q91" s="138">
        <f t="shared" si="24"/>
        <v>0</v>
      </c>
      <c r="R91" s="138">
        <f t="shared" si="24"/>
        <v>0</v>
      </c>
      <c r="S91" s="138">
        <f t="shared" si="24"/>
        <v>0</v>
      </c>
      <c r="T91" s="138">
        <f t="shared" si="24"/>
        <v>0</v>
      </c>
      <c r="U91" s="149">
        <f t="shared" si="24"/>
        <v>0</v>
      </c>
    </row>
    <row r="94" spans="3:21" ht="15.75">
      <c r="C94" s="381" t="str">
        <f>+MENU!$C$50</f>
        <v>3.4.2. - PREÇO DE VEÍCULO NOVO COMPLETO SEM RODAGEM</v>
      </c>
    </row>
    <row r="96" spans="3:21" ht="18" customHeight="1">
      <c r="C96" s="579" t="s">
        <v>30</v>
      </c>
      <c r="D96" s="580"/>
      <c r="E96" s="581"/>
      <c r="F96" s="14" t="s">
        <v>6</v>
      </c>
      <c r="G96" s="572">
        <v>1</v>
      </c>
      <c r="H96" s="572">
        <f t="shared" ref="H96:U96" si="27">+G96+1</f>
        <v>2</v>
      </c>
      <c r="I96" s="572">
        <f t="shared" si="27"/>
        <v>3</v>
      </c>
      <c r="J96" s="572">
        <f t="shared" si="27"/>
        <v>4</v>
      </c>
      <c r="K96" s="572">
        <f t="shared" si="27"/>
        <v>5</v>
      </c>
      <c r="L96" s="572">
        <f t="shared" si="27"/>
        <v>6</v>
      </c>
      <c r="M96" s="572">
        <f t="shared" si="27"/>
        <v>7</v>
      </c>
      <c r="N96" s="572">
        <f t="shared" si="27"/>
        <v>8</v>
      </c>
      <c r="O96" s="572">
        <f t="shared" si="27"/>
        <v>9</v>
      </c>
      <c r="P96" s="572">
        <f t="shared" si="27"/>
        <v>10</v>
      </c>
      <c r="Q96" s="572">
        <f t="shared" si="27"/>
        <v>11</v>
      </c>
      <c r="R96" s="572">
        <f t="shared" si="27"/>
        <v>12</v>
      </c>
      <c r="S96" s="572">
        <f t="shared" si="27"/>
        <v>13</v>
      </c>
      <c r="T96" s="572">
        <f t="shared" si="27"/>
        <v>14</v>
      </c>
      <c r="U96" s="573">
        <f t="shared" si="27"/>
        <v>15</v>
      </c>
    </row>
    <row r="97" spans="1:21">
      <c r="A97" s="2">
        <v>1</v>
      </c>
      <c r="D97" s="19" t="str">
        <f>"Preço de 1 Veíc. "&amp;VLOOKUP(A97,TIPOLOGIA!$D$10:$E$12,2,0)</f>
        <v>Preço de 1 Veíc. MICROÔNIBUS</v>
      </c>
      <c r="E97" s="19"/>
      <c r="F97" s="20" t="s">
        <v>25</v>
      </c>
      <c r="G97" s="63">
        <f>G44-(('3. PREÇOS INSUMOS'!G27*'2. COEFICIENTES'!F42)+('3. PREÇOS INSUMOS'!G34*'2. COEFICIENTES'!F42*'2. COEFICIENTES'!F49))</f>
        <v>305757.76</v>
      </c>
      <c r="H97" s="63">
        <f>H44-(('3. PREÇOS INSUMOS'!H27*'2. COEFICIENTES'!G42)+('3. PREÇOS INSUMOS'!H34*'2. COEFICIENTES'!G42*'2. COEFICIENTES'!G49))</f>
        <v>305757.76</v>
      </c>
      <c r="I97" s="63">
        <f>I44-(('3. PREÇOS INSUMOS'!I27*'2. COEFICIENTES'!H42)+('3. PREÇOS INSUMOS'!I34*'2. COEFICIENTES'!H42*'2. COEFICIENTES'!H49))</f>
        <v>305757.76</v>
      </c>
      <c r="J97" s="63">
        <f>J44-(('3. PREÇOS INSUMOS'!J27*'2. COEFICIENTES'!I42)+('3. PREÇOS INSUMOS'!J34*'2. COEFICIENTES'!I42*'2. COEFICIENTES'!I49))</f>
        <v>305757.76</v>
      </c>
      <c r="K97" s="63">
        <f>K44-(('3. PREÇOS INSUMOS'!K27*'2. COEFICIENTES'!J42)+('3. PREÇOS INSUMOS'!K34*'2. COEFICIENTES'!J42*'2. COEFICIENTES'!J49))</f>
        <v>305757.76</v>
      </c>
      <c r="L97" s="63">
        <f>L44-(('3. PREÇOS INSUMOS'!L27*'2. COEFICIENTES'!K42)+('3. PREÇOS INSUMOS'!L34*'2. COEFICIENTES'!K42*'2. COEFICIENTES'!K49))</f>
        <v>305757.76</v>
      </c>
      <c r="M97" s="63">
        <f>M44-(('3. PREÇOS INSUMOS'!M27*'2. COEFICIENTES'!L42)+('3. PREÇOS INSUMOS'!M34*'2. COEFICIENTES'!L42*'2. COEFICIENTES'!L49))</f>
        <v>305757.76</v>
      </c>
      <c r="N97" s="63">
        <f>N44-(('3. PREÇOS INSUMOS'!N27*'2. COEFICIENTES'!M42)+('3. PREÇOS INSUMOS'!N34*'2. COEFICIENTES'!M42*'2. COEFICIENTES'!M49))</f>
        <v>305757.76</v>
      </c>
      <c r="O97" s="63">
        <f>O44-(('3. PREÇOS INSUMOS'!O27*'2. COEFICIENTES'!N42)+('3. PREÇOS INSUMOS'!O34*'2. COEFICIENTES'!N42*'2. COEFICIENTES'!N49))</f>
        <v>305757.76</v>
      </c>
      <c r="P97" s="63">
        <f>P44-(('3. PREÇOS INSUMOS'!P27*'2. COEFICIENTES'!O42)+('3. PREÇOS INSUMOS'!P34*'2. COEFICIENTES'!O42*'2. COEFICIENTES'!O49))</f>
        <v>305757.76</v>
      </c>
      <c r="Q97" s="63">
        <f>Q44-(('3. PREÇOS INSUMOS'!Q27*'2. COEFICIENTES'!P42)+('3. PREÇOS INSUMOS'!Q34*'2. COEFICIENTES'!P42*'2. COEFICIENTES'!P49))</f>
        <v>305757.76</v>
      </c>
      <c r="R97" s="63">
        <f>R44-(('3. PREÇOS INSUMOS'!R27*'2. COEFICIENTES'!Q42)+('3. PREÇOS INSUMOS'!R34*'2. COEFICIENTES'!Q42*'2. COEFICIENTES'!Q49))</f>
        <v>305757.76</v>
      </c>
      <c r="S97" s="63">
        <f>S44-(('3. PREÇOS INSUMOS'!S27*'2. COEFICIENTES'!R42)+('3. PREÇOS INSUMOS'!S34*'2. COEFICIENTES'!R42*'2. COEFICIENTES'!R49))</f>
        <v>305757.76</v>
      </c>
      <c r="T97" s="63">
        <f>T44-(('3. PREÇOS INSUMOS'!T27*'2. COEFICIENTES'!S42)+('3. PREÇOS INSUMOS'!T34*'2. COEFICIENTES'!S42*'2. COEFICIENTES'!S49))</f>
        <v>305757.76</v>
      </c>
      <c r="U97" s="64">
        <f>U44-(('3. PREÇOS INSUMOS'!U27*'2. COEFICIENTES'!T42)+('3. PREÇOS INSUMOS'!U34*'2. COEFICIENTES'!T42*'2. COEFICIENTES'!T49))</f>
        <v>305757.76</v>
      </c>
    </row>
    <row r="98" spans="1:21">
      <c r="A98" s="2">
        <v>2</v>
      </c>
      <c r="D98" s="17" t="str">
        <f>"Preço de 1 Veíc. "&amp;VLOOKUP(A98,TIPOLOGIA!$D$10:$E$12,2,0)</f>
        <v>Preço de 1 Veíc. CONVENCIONAL</v>
      </c>
      <c r="E98" s="17"/>
      <c r="F98" s="18" t="str">
        <f>+F97</f>
        <v>(R$/Veíc.)</v>
      </c>
      <c r="G98" s="51">
        <f>G45-(('3. PREÇOS INSUMOS'!G28*'2. COEFICIENTES'!F43)+('3. PREÇOS INSUMOS'!G35*'2. COEFICIENTES'!F43*'2. COEFICIENTES'!F50))</f>
        <v>375003.1</v>
      </c>
      <c r="H98" s="51">
        <f>H45-(('3. PREÇOS INSUMOS'!H28*'2. COEFICIENTES'!G43)+('3. PREÇOS INSUMOS'!H35*'2. COEFICIENTES'!G43*'2. COEFICIENTES'!G50))</f>
        <v>375003.1</v>
      </c>
      <c r="I98" s="51">
        <f>I45-(('3. PREÇOS INSUMOS'!I28*'2. COEFICIENTES'!H43)+('3. PREÇOS INSUMOS'!I35*'2. COEFICIENTES'!H43*'2. COEFICIENTES'!H50))</f>
        <v>375003.1</v>
      </c>
      <c r="J98" s="51">
        <f>J45-(('3. PREÇOS INSUMOS'!J28*'2. COEFICIENTES'!I43)+('3. PREÇOS INSUMOS'!J35*'2. COEFICIENTES'!I43*'2. COEFICIENTES'!I50))</f>
        <v>375003.1</v>
      </c>
      <c r="K98" s="51">
        <f>K45-(('3. PREÇOS INSUMOS'!K28*'2. COEFICIENTES'!J43)+('3. PREÇOS INSUMOS'!K35*'2. COEFICIENTES'!J43*'2. COEFICIENTES'!J50))</f>
        <v>375003.1</v>
      </c>
      <c r="L98" s="51">
        <f>L45-(('3. PREÇOS INSUMOS'!L28*'2. COEFICIENTES'!K43)+('3. PREÇOS INSUMOS'!L35*'2. COEFICIENTES'!K43*'2. COEFICIENTES'!K50))</f>
        <v>375003.1</v>
      </c>
      <c r="M98" s="51">
        <f>M45-(('3. PREÇOS INSUMOS'!M28*'2. COEFICIENTES'!L43)+('3. PREÇOS INSUMOS'!M35*'2. COEFICIENTES'!L43*'2. COEFICIENTES'!L50))</f>
        <v>375003.1</v>
      </c>
      <c r="N98" s="51">
        <f>N45-(('3. PREÇOS INSUMOS'!N28*'2. COEFICIENTES'!M43)+('3. PREÇOS INSUMOS'!N35*'2. COEFICIENTES'!M43*'2. COEFICIENTES'!M50))</f>
        <v>375003.1</v>
      </c>
      <c r="O98" s="51">
        <f>O45-(('3. PREÇOS INSUMOS'!O28*'2. COEFICIENTES'!N43)+('3. PREÇOS INSUMOS'!O35*'2. COEFICIENTES'!N43*'2. COEFICIENTES'!N50))</f>
        <v>375003.1</v>
      </c>
      <c r="P98" s="51">
        <f>P45-(('3. PREÇOS INSUMOS'!P28*'2. COEFICIENTES'!O43)+('3. PREÇOS INSUMOS'!P35*'2. COEFICIENTES'!O43*'2. COEFICIENTES'!O50))</f>
        <v>375003.1</v>
      </c>
      <c r="Q98" s="51">
        <f>Q45-(('3. PREÇOS INSUMOS'!Q28*'2. COEFICIENTES'!P43)+('3. PREÇOS INSUMOS'!Q35*'2. COEFICIENTES'!P43*'2. COEFICIENTES'!P50))</f>
        <v>375003.1</v>
      </c>
      <c r="R98" s="51">
        <f>R45-(('3. PREÇOS INSUMOS'!R28*'2. COEFICIENTES'!Q43)+('3. PREÇOS INSUMOS'!R35*'2. COEFICIENTES'!Q43*'2. COEFICIENTES'!Q50))</f>
        <v>375003.1</v>
      </c>
      <c r="S98" s="51">
        <f>S45-(('3. PREÇOS INSUMOS'!S28*'2. COEFICIENTES'!R43)+('3. PREÇOS INSUMOS'!S35*'2. COEFICIENTES'!R43*'2. COEFICIENTES'!R50))</f>
        <v>375003.1</v>
      </c>
      <c r="T98" s="51">
        <f>T45-(('3. PREÇOS INSUMOS'!T28*'2. COEFICIENTES'!S43)+('3. PREÇOS INSUMOS'!T35*'2. COEFICIENTES'!S43*'2. COEFICIENTES'!S50))</f>
        <v>375003.1</v>
      </c>
      <c r="U98" s="52">
        <f>U45-(('3. PREÇOS INSUMOS'!U28*'2. COEFICIENTES'!T43)+('3. PREÇOS INSUMOS'!U35*'2. COEFICIENTES'!T43*'2. COEFICIENTES'!T50))</f>
        <v>375003.1</v>
      </c>
    </row>
    <row r="99" spans="1:21">
      <c r="A99" s="2">
        <v>3</v>
      </c>
      <c r="D99" s="24" t="str">
        <f>"Preço de 1 Veíc. "&amp;VLOOKUP(A99,TIPOLOGIA!$D$10:$E$12,2,0)</f>
        <v>Preço de 1 Veíc. -</v>
      </c>
      <c r="E99" s="24"/>
      <c r="F99" s="25" t="str">
        <f>+F98</f>
        <v>(R$/Veíc.)</v>
      </c>
      <c r="G99" s="51">
        <f>G46-(('3. PREÇOS INSUMOS'!G29*'2. COEFICIENTES'!F44)+('3. PREÇOS INSUMOS'!G36*'2. COEFICIENTES'!F44*'2. COEFICIENTES'!F51))</f>
        <v>0</v>
      </c>
      <c r="H99" s="51">
        <f>H46-(('3. PREÇOS INSUMOS'!H29*'2. COEFICIENTES'!G44)+('3. PREÇOS INSUMOS'!H36*'2. COEFICIENTES'!G44*'2. COEFICIENTES'!G51))</f>
        <v>0</v>
      </c>
      <c r="I99" s="51">
        <f>I46-(('3. PREÇOS INSUMOS'!I29*'2. COEFICIENTES'!H44)+('3. PREÇOS INSUMOS'!I36*'2. COEFICIENTES'!H44*'2. COEFICIENTES'!H51))</f>
        <v>0</v>
      </c>
      <c r="J99" s="51">
        <f>J46-(('3. PREÇOS INSUMOS'!J29*'2. COEFICIENTES'!I44)+('3. PREÇOS INSUMOS'!J36*'2. COEFICIENTES'!I44*'2. COEFICIENTES'!I51))</f>
        <v>0</v>
      </c>
      <c r="K99" s="51">
        <f>K46-(('3. PREÇOS INSUMOS'!K29*'2. COEFICIENTES'!J44)+('3. PREÇOS INSUMOS'!K36*'2. COEFICIENTES'!J44*'2. COEFICIENTES'!J51))</f>
        <v>0</v>
      </c>
      <c r="L99" s="51">
        <f>L46-(('3. PREÇOS INSUMOS'!L29*'2. COEFICIENTES'!K44)+('3. PREÇOS INSUMOS'!L36*'2. COEFICIENTES'!K44*'2. COEFICIENTES'!K51))</f>
        <v>0</v>
      </c>
      <c r="M99" s="51">
        <f>M46-(('3. PREÇOS INSUMOS'!M29*'2. COEFICIENTES'!L44)+('3. PREÇOS INSUMOS'!M36*'2. COEFICIENTES'!L44*'2. COEFICIENTES'!L51))</f>
        <v>0</v>
      </c>
      <c r="N99" s="51">
        <f>N46-(('3. PREÇOS INSUMOS'!N29*'2. COEFICIENTES'!M44)+('3. PREÇOS INSUMOS'!N36*'2. COEFICIENTES'!M44*'2. COEFICIENTES'!M51))</f>
        <v>0</v>
      </c>
      <c r="O99" s="51">
        <f>O46-(('3. PREÇOS INSUMOS'!O29*'2. COEFICIENTES'!N44)+('3. PREÇOS INSUMOS'!O36*'2. COEFICIENTES'!N44*'2. COEFICIENTES'!N51))</f>
        <v>0</v>
      </c>
      <c r="P99" s="51">
        <f>P46-(('3. PREÇOS INSUMOS'!P29*'2. COEFICIENTES'!O44)+('3. PREÇOS INSUMOS'!P36*'2. COEFICIENTES'!O44*'2. COEFICIENTES'!O51))</f>
        <v>0</v>
      </c>
      <c r="Q99" s="51">
        <f>Q46-(('3. PREÇOS INSUMOS'!Q29*'2. COEFICIENTES'!P44)+('3. PREÇOS INSUMOS'!Q36*'2. COEFICIENTES'!P44*'2. COEFICIENTES'!P51))</f>
        <v>0</v>
      </c>
      <c r="R99" s="51">
        <f>R46-(('3. PREÇOS INSUMOS'!R29*'2. COEFICIENTES'!Q44)+('3. PREÇOS INSUMOS'!R36*'2. COEFICIENTES'!Q44*'2. COEFICIENTES'!Q51))</f>
        <v>0</v>
      </c>
      <c r="S99" s="51">
        <f>S46-(('3. PREÇOS INSUMOS'!S29*'2. COEFICIENTES'!R44)+('3. PREÇOS INSUMOS'!S36*'2. COEFICIENTES'!R44*'2. COEFICIENTES'!R51))</f>
        <v>0</v>
      </c>
      <c r="T99" s="51">
        <f>T46-(('3. PREÇOS INSUMOS'!T29*'2. COEFICIENTES'!S44)+('3. PREÇOS INSUMOS'!T36*'2. COEFICIENTES'!S44*'2. COEFICIENTES'!S51))</f>
        <v>0</v>
      </c>
      <c r="U99" s="52">
        <f>U46-(('3. PREÇOS INSUMOS'!U29*'2. COEFICIENTES'!T44)+('3. PREÇOS INSUMOS'!U36*'2. COEFICIENTES'!T44*'2. COEFICIENTES'!T51))</f>
        <v>0</v>
      </c>
    </row>
    <row r="101" spans="1:21" ht="15.75">
      <c r="A101" s="2">
        <v>1</v>
      </c>
      <c r="C101" s="381" t="str">
        <f>+MENU!$C$51</f>
        <v>3.4.2.1 - PREÇO DE VEÍCULO COM FATOR DE DEPRECIAÇÃO DE VEÍCULO S/ RODAGEM - MICROÔNIBUS</v>
      </c>
    </row>
    <row r="102" spans="1:21">
      <c r="C102" s="4"/>
    </row>
    <row r="103" spans="1:21" ht="26.25" customHeight="1">
      <c r="C103" s="705" t="s">
        <v>86</v>
      </c>
      <c r="D103" s="706"/>
      <c r="E103" s="577" t="s">
        <v>108</v>
      </c>
      <c r="F103" s="577" t="s">
        <v>109</v>
      </c>
      <c r="G103" s="578">
        <v>1</v>
      </c>
      <c r="H103" s="572">
        <f t="shared" ref="H103:U103" si="28">+G103+1</f>
        <v>2</v>
      </c>
      <c r="I103" s="572">
        <f t="shared" si="28"/>
        <v>3</v>
      </c>
      <c r="J103" s="572">
        <f t="shared" si="28"/>
        <v>4</v>
      </c>
      <c r="K103" s="572">
        <f t="shared" si="28"/>
        <v>5</v>
      </c>
      <c r="L103" s="572">
        <f t="shared" si="28"/>
        <v>6</v>
      </c>
      <c r="M103" s="572">
        <f t="shared" si="28"/>
        <v>7</v>
      </c>
      <c r="N103" s="572">
        <f t="shared" si="28"/>
        <v>8</v>
      </c>
      <c r="O103" s="572">
        <f t="shared" si="28"/>
        <v>9</v>
      </c>
      <c r="P103" s="572">
        <f t="shared" si="28"/>
        <v>10</v>
      </c>
      <c r="Q103" s="572">
        <f t="shared" si="28"/>
        <v>11</v>
      </c>
      <c r="R103" s="572">
        <f t="shared" si="28"/>
        <v>12</v>
      </c>
      <c r="S103" s="572">
        <f t="shared" si="28"/>
        <v>13</v>
      </c>
      <c r="T103" s="572">
        <f t="shared" si="28"/>
        <v>14</v>
      </c>
      <c r="U103" s="573">
        <f t="shared" si="28"/>
        <v>15</v>
      </c>
    </row>
    <row r="104" spans="1:21">
      <c r="C104" s="110">
        <v>0</v>
      </c>
      <c r="D104" s="135" t="s">
        <v>87</v>
      </c>
      <c r="E104" s="139">
        <f t="shared" ref="E104:E114" si="29">+E51</f>
        <v>0.18888888888888888</v>
      </c>
      <c r="F104" s="140">
        <v>1</v>
      </c>
      <c r="G104" s="133">
        <f>G$97*$F104</f>
        <v>305757.76</v>
      </c>
      <c r="H104" s="133">
        <f t="shared" ref="H104:U114" si="30">H$97*$F104</f>
        <v>305757.76</v>
      </c>
      <c r="I104" s="133">
        <f t="shared" si="30"/>
        <v>305757.76</v>
      </c>
      <c r="J104" s="133">
        <f t="shared" si="30"/>
        <v>305757.76</v>
      </c>
      <c r="K104" s="133">
        <f t="shared" si="30"/>
        <v>305757.76</v>
      </c>
      <c r="L104" s="133">
        <f t="shared" si="30"/>
        <v>305757.76</v>
      </c>
      <c r="M104" s="136">
        <f t="shared" si="30"/>
        <v>305757.76</v>
      </c>
      <c r="N104" s="136">
        <f t="shared" si="30"/>
        <v>305757.76</v>
      </c>
      <c r="O104" s="136">
        <f t="shared" si="30"/>
        <v>305757.76</v>
      </c>
      <c r="P104" s="136">
        <f t="shared" si="30"/>
        <v>305757.76</v>
      </c>
      <c r="Q104" s="136">
        <f t="shared" si="30"/>
        <v>305757.76</v>
      </c>
      <c r="R104" s="136">
        <f t="shared" si="30"/>
        <v>305757.76</v>
      </c>
      <c r="S104" s="136">
        <f t="shared" si="30"/>
        <v>305757.76</v>
      </c>
      <c r="T104" s="136">
        <f t="shared" si="30"/>
        <v>305757.76</v>
      </c>
      <c r="U104" s="147">
        <f t="shared" si="30"/>
        <v>305757.76</v>
      </c>
    </row>
    <row r="105" spans="1:21">
      <c r="C105" s="110">
        <v>1</v>
      </c>
      <c r="D105" s="135" t="s">
        <v>89</v>
      </c>
      <c r="E105" s="141">
        <f t="shared" si="29"/>
        <v>0.16527777777777777</v>
      </c>
      <c r="F105" s="142">
        <f t="shared" ref="F105:F111" si="31">F104-E104</f>
        <v>0.81111111111111112</v>
      </c>
      <c r="G105" s="99">
        <f t="shared" ref="G105:G114" si="32">G$97*$F105</f>
        <v>248003.51644444445</v>
      </c>
      <c r="H105" s="99">
        <f t="shared" si="30"/>
        <v>248003.51644444445</v>
      </c>
      <c r="I105" s="99">
        <f t="shared" si="30"/>
        <v>248003.51644444445</v>
      </c>
      <c r="J105" s="99">
        <f t="shared" si="30"/>
        <v>248003.51644444445</v>
      </c>
      <c r="K105" s="99">
        <f t="shared" si="30"/>
        <v>248003.51644444445</v>
      </c>
      <c r="L105" s="137">
        <f t="shared" si="30"/>
        <v>248003.51644444445</v>
      </c>
      <c r="M105" s="137">
        <f t="shared" si="30"/>
        <v>248003.51644444445</v>
      </c>
      <c r="N105" s="137">
        <f t="shared" si="30"/>
        <v>248003.51644444445</v>
      </c>
      <c r="O105" s="137">
        <f t="shared" si="30"/>
        <v>248003.51644444445</v>
      </c>
      <c r="P105" s="137">
        <f t="shared" si="30"/>
        <v>248003.51644444445</v>
      </c>
      <c r="Q105" s="137">
        <f t="shared" si="30"/>
        <v>248003.51644444445</v>
      </c>
      <c r="R105" s="137">
        <f t="shared" si="30"/>
        <v>248003.51644444445</v>
      </c>
      <c r="S105" s="137">
        <f t="shared" si="30"/>
        <v>248003.51644444445</v>
      </c>
      <c r="T105" s="137">
        <f t="shared" si="30"/>
        <v>248003.51644444445</v>
      </c>
      <c r="U105" s="148">
        <f t="shared" si="30"/>
        <v>248003.51644444445</v>
      </c>
    </row>
    <row r="106" spans="1:21">
      <c r="C106" s="110">
        <v>2</v>
      </c>
      <c r="D106" s="135" t="s">
        <v>90</v>
      </c>
      <c r="E106" s="141">
        <f t="shared" si="29"/>
        <v>0.14166666666666666</v>
      </c>
      <c r="F106" s="142">
        <f t="shared" si="31"/>
        <v>0.64583333333333337</v>
      </c>
      <c r="G106" s="99">
        <f t="shared" si="32"/>
        <v>197468.55333333334</v>
      </c>
      <c r="H106" s="99">
        <f t="shared" si="30"/>
        <v>197468.55333333334</v>
      </c>
      <c r="I106" s="99">
        <f t="shared" si="30"/>
        <v>197468.55333333334</v>
      </c>
      <c r="J106" s="99">
        <f t="shared" si="30"/>
        <v>197468.55333333334</v>
      </c>
      <c r="K106" s="99">
        <f t="shared" si="30"/>
        <v>197468.55333333334</v>
      </c>
      <c r="L106" s="137">
        <f t="shared" si="30"/>
        <v>197468.55333333334</v>
      </c>
      <c r="M106" s="137">
        <f t="shared" si="30"/>
        <v>197468.55333333334</v>
      </c>
      <c r="N106" s="137">
        <f t="shared" si="30"/>
        <v>197468.55333333334</v>
      </c>
      <c r="O106" s="137">
        <f t="shared" si="30"/>
        <v>197468.55333333334</v>
      </c>
      <c r="P106" s="137">
        <f t="shared" si="30"/>
        <v>197468.55333333334</v>
      </c>
      <c r="Q106" s="137">
        <f t="shared" si="30"/>
        <v>197468.55333333334</v>
      </c>
      <c r="R106" s="137">
        <f t="shared" si="30"/>
        <v>197468.55333333334</v>
      </c>
      <c r="S106" s="137">
        <f t="shared" si="30"/>
        <v>197468.55333333334</v>
      </c>
      <c r="T106" s="137">
        <f t="shared" si="30"/>
        <v>197468.55333333334</v>
      </c>
      <c r="U106" s="148">
        <f t="shared" si="30"/>
        <v>197468.55333333334</v>
      </c>
    </row>
    <row r="107" spans="1:21">
      <c r="C107" s="110">
        <v>3</v>
      </c>
      <c r="D107" s="135" t="s">
        <v>91</v>
      </c>
      <c r="E107" s="141">
        <f t="shared" si="29"/>
        <v>0.11805555555555555</v>
      </c>
      <c r="F107" s="142">
        <f t="shared" si="31"/>
        <v>0.50416666666666665</v>
      </c>
      <c r="G107" s="99">
        <f t="shared" si="32"/>
        <v>154152.87066666665</v>
      </c>
      <c r="H107" s="99">
        <f t="shared" si="30"/>
        <v>154152.87066666665</v>
      </c>
      <c r="I107" s="99">
        <f t="shared" si="30"/>
        <v>154152.87066666665</v>
      </c>
      <c r="J107" s="99">
        <f t="shared" si="30"/>
        <v>154152.87066666665</v>
      </c>
      <c r="K107" s="137">
        <f t="shared" si="30"/>
        <v>154152.87066666665</v>
      </c>
      <c r="L107" s="137">
        <f t="shared" si="30"/>
        <v>154152.87066666665</v>
      </c>
      <c r="M107" s="137">
        <f t="shared" si="30"/>
        <v>154152.87066666665</v>
      </c>
      <c r="N107" s="137">
        <f t="shared" si="30"/>
        <v>154152.87066666665</v>
      </c>
      <c r="O107" s="137">
        <f t="shared" si="30"/>
        <v>154152.87066666665</v>
      </c>
      <c r="P107" s="137">
        <f t="shared" si="30"/>
        <v>154152.87066666665</v>
      </c>
      <c r="Q107" s="137">
        <f t="shared" si="30"/>
        <v>154152.87066666665</v>
      </c>
      <c r="R107" s="137">
        <f t="shared" si="30"/>
        <v>154152.87066666665</v>
      </c>
      <c r="S107" s="137">
        <f t="shared" si="30"/>
        <v>154152.87066666665</v>
      </c>
      <c r="T107" s="137">
        <f t="shared" si="30"/>
        <v>154152.87066666665</v>
      </c>
      <c r="U107" s="148">
        <f t="shared" si="30"/>
        <v>154152.87066666665</v>
      </c>
    </row>
    <row r="108" spans="1:21">
      <c r="C108" s="110">
        <v>4</v>
      </c>
      <c r="D108" s="135" t="s">
        <v>92</v>
      </c>
      <c r="E108" s="141">
        <f t="shared" si="29"/>
        <v>9.4444444444444442E-2</v>
      </c>
      <c r="F108" s="142">
        <f t="shared" si="31"/>
        <v>0.38611111111111107</v>
      </c>
      <c r="G108" s="99">
        <f t="shared" si="32"/>
        <v>118056.46844444444</v>
      </c>
      <c r="H108" s="99">
        <f t="shared" si="30"/>
        <v>118056.46844444444</v>
      </c>
      <c r="I108" s="99">
        <f t="shared" si="30"/>
        <v>118056.46844444444</v>
      </c>
      <c r="J108" s="99">
        <f t="shared" si="30"/>
        <v>118056.46844444444</v>
      </c>
      <c r="K108" s="137">
        <f t="shared" si="30"/>
        <v>118056.46844444444</v>
      </c>
      <c r="L108" s="137">
        <f t="shared" si="30"/>
        <v>118056.46844444444</v>
      </c>
      <c r="M108" s="137">
        <f t="shared" si="30"/>
        <v>118056.46844444444</v>
      </c>
      <c r="N108" s="137">
        <f t="shared" si="30"/>
        <v>118056.46844444444</v>
      </c>
      <c r="O108" s="137">
        <f t="shared" si="30"/>
        <v>118056.46844444444</v>
      </c>
      <c r="P108" s="137">
        <f t="shared" si="30"/>
        <v>118056.46844444444</v>
      </c>
      <c r="Q108" s="137">
        <f t="shared" si="30"/>
        <v>118056.46844444444</v>
      </c>
      <c r="R108" s="137">
        <f t="shared" si="30"/>
        <v>118056.46844444444</v>
      </c>
      <c r="S108" s="137">
        <f t="shared" si="30"/>
        <v>118056.46844444444</v>
      </c>
      <c r="T108" s="137">
        <f t="shared" si="30"/>
        <v>118056.46844444444</v>
      </c>
      <c r="U108" s="148">
        <f t="shared" si="30"/>
        <v>118056.46844444444</v>
      </c>
    </row>
    <row r="109" spans="1:21">
      <c r="C109" s="110">
        <v>5</v>
      </c>
      <c r="D109" s="135" t="s">
        <v>93</v>
      </c>
      <c r="E109" s="141">
        <f t="shared" si="29"/>
        <v>7.0833333333333331E-2</v>
      </c>
      <c r="F109" s="142">
        <f t="shared" si="31"/>
        <v>0.29166666666666663</v>
      </c>
      <c r="G109" s="99">
        <f t="shared" si="32"/>
        <v>89179.346666666665</v>
      </c>
      <c r="H109" s="99">
        <f t="shared" si="30"/>
        <v>89179.346666666665</v>
      </c>
      <c r="I109" s="99">
        <f t="shared" si="30"/>
        <v>89179.346666666665</v>
      </c>
      <c r="J109" s="137">
        <f t="shared" si="30"/>
        <v>89179.346666666665</v>
      </c>
      <c r="K109" s="137">
        <f t="shared" si="30"/>
        <v>89179.346666666665</v>
      </c>
      <c r="L109" s="137">
        <f t="shared" si="30"/>
        <v>89179.346666666665</v>
      </c>
      <c r="M109" s="137">
        <f t="shared" si="30"/>
        <v>89179.346666666665</v>
      </c>
      <c r="N109" s="137">
        <f t="shared" si="30"/>
        <v>89179.346666666665</v>
      </c>
      <c r="O109" s="137">
        <f t="shared" si="30"/>
        <v>89179.346666666665</v>
      </c>
      <c r="P109" s="137">
        <f t="shared" si="30"/>
        <v>89179.346666666665</v>
      </c>
      <c r="Q109" s="137">
        <f t="shared" si="30"/>
        <v>89179.346666666665</v>
      </c>
      <c r="R109" s="137">
        <f t="shared" si="30"/>
        <v>89179.346666666665</v>
      </c>
      <c r="S109" s="137">
        <f t="shared" si="30"/>
        <v>89179.346666666665</v>
      </c>
      <c r="T109" s="137">
        <f t="shared" si="30"/>
        <v>89179.346666666665</v>
      </c>
      <c r="U109" s="148">
        <f t="shared" si="30"/>
        <v>89179.346666666665</v>
      </c>
    </row>
    <row r="110" spans="1:21">
      <c r="C110" s="110">
        <v>6</v>
      </c>
      <c r="D110" s="135" t="s">
        <v>94</v>
      </c>
      <c r="E110" s="141">
        <f t="shared" si="29"/>
        <v>4.7222222222222221E-2</v>
      </c>
      <c r="F110" s="142">
        <f t="shared" si="31"/>
        <v>0.2208333333333333</v>
      </c>
      <c r="G110" s="99">
        <f t="shared" si="32"/>
        <v>67521.50533333332</v>
      </c>
      <c r="H110" s="99">
        <f t="shared" si="30"/>
        <v>67521.50533333332</v>
      </c>
      <c r="I110" s="99">
        <f t="shared" si="30"/>
        <v>67521.50533333332</v>
      </c>
      <c r="J110" s="137">
        <f t="shared" si="30"/>
        <v>67521.50533333332</v>
      </c>
      <c r="K110" s="137">
        <f t="shared" si="30"/>
        <v>67521.50533333332</v>
      </c>
      <c r="L110" s="137">
        <f t="shared" si="30"/>
        <v>67521.50533333332</v>
      </c>
      <c r="M110" s="137">
        <f t="shared" si="30"/>
        <v>67521.50533333332</v>
      </c>
      <c r="N110" s="137">
        <f t="shared" si="30"/>
        <v>67521.50533333332</v>
      </c>
      <c r="O110" s="137">
        <f t="shared" si="30"/>
        <v>67521.50533333332</v>
      </c>
      <c r="P110" s="137">
        <f t="shared" si="30"/>
        <v>67521.50533333332</v>
      </c>
      <c r="Q110" s="137">
        <f t="shared" si="30"/>
        <v>67521.50533333332</v>
      </c>
      <c r="R110" s="137">
        <f t="shared" si="30"/>
        <v>67521.50533333332</v>
      </c>
      <c r="S110" s="137">
        <f t="shared" si="30"/>
        <v>67521.50533333332</v>
      </c>
      <c r="T110" s="137">
        <f t="shared" si="30"/>
        <v>67521.50533333332</v>
      </c>
      <c r="U110" s="148">
        <f t="shared" si="30"/>
        <v>67521.50533333332</v>
      </c>
    </row>
    <row r="111" spans="1:21">
      <c r="C111" s="110">
        <v>7</v>
      </c>
      <c r="D111" s="135" t="s">
        <v>95</v>
      </c>
      <c r="E111" s="141">
        <f t="shared" si="29"/>
        <v>2.361111111111111E-2</v>
      </c>
      <c r="F111" s="142">
        <f t="shared" si="31"/>
        <v>0.17361111111111108</v>
      </c>
      <c r="G111" s="99">
        <f t="shared" si="32"/>
        <v>53082.944444444438</v>
      </c>
      <c r="H111" s="99">
        <f t="shared" si="30"/>
        <v>53082.944444444438</v>
      </c>
      <c r="I111" s="137">
        <f t="shared" si="30"/>
        <v>53082.944444444438</v>
      </c>
      <c r="J111" s="137">
        <f t="shared" si="30"/>
        <v>53082.944444444438</v>
      </c>
      <c r="K111" s="137">
        <f t="shared" si="30"/>
        <v>53082.944444444438</v>
      </c>
      <c r="L111" s="137">
        <f t="shared" si="30"/>
        <v>53082.944444444438</v>
      </c>
      <c r="M111" s="137">
        <f t="shared" si="30"/>
        <v>53082.944444444438</v>
      </c>
      <c r="N111" s="137">
        <f t="shared" si="30"/>
        <v>53082.944444444438</v>
      </c>
      <c r="O111" s="137">
        <f t="shared" si="30"/>
        <v>53082.944444444438</v>
      </c>
      <c r="P111" s="137">
        <f t="shared" si="30"/>
        <v>53082.944444444438</v>
      </c>
      <c r="Q111" s="137">
        <f t="shared" si="30"/>
        <v>53082.944444444438</v>
      </c>
      <c r="R111" s="137">
        <f t="shared" si="30"/>
        <v>53082.944444444438</v>
      </c>
      <c r="S111" s="137">
        <f t="shared" si="30"/>
        <v>53082.944444444438</v>
      </c>
      <c r="T111" s="137">
        <f t="shared" si="30"/>
        <v>53082.944444444438</v>
      </c>
      <c r="U111" s="148">
        <f t="shared" si="30"/>
        <v>53082.944444444438</v>
      </c>
    </row>
    <row r="112" spans="1:21">
      <c r="C112" s="110">
        <v>8</v>
      </c>
      <c r="D112" s="135" t="s">
        <v>96</v>
      </c>
      <c r="E112" s="141">
        <f t="shared" si="29"/>
        <v>0</v>
      </c>
      <c r="F112" s="142">
        <f>F111-E111</f>
        <v>0.14999999999999997</v>
      </c>
      <c r="G112" s="99">
        <f t="shared" si="32"/>
        <v>45863.66399999999</v>
      </c>
      <c r="H112" s="99">
        <f t="shared" si="30"/>
        <v>45863.66399999999</v>
      </c>
      <c r="I112" s="137">
        <f t="shared" si="30"/>
        <v>45863.66399999999</v>
      </c>
      <c r="J112" s="137">
        <f t="shared" si="30"/>
        <v>45863.66399999999</v>
      </c>
      <c r="K112" s="137">
        <f t="shared" si="30"/>
        <v>45863.66399999999</v>
      </c>
      <c r="L112" s="137">
        <f t="shared" si="30"/>
        <v>45863.66399999999</v>
      </c>
      <c r="M112" s="137">
        <f t="shared" si="30"/>
        <v>45863.66399999999</v>
      </c>
      <c r="N112" s="137">
        <f t="shared" si="30"/>
        <v>45863.66399999999</v>
      </c>
      <c r="O112" s="137">
        <f t="shared" si="30"/>
        <v>45863.66399999999</v>
      </c>
      <c r="P112" s="137">
        <f t="shared" si="30"/>
        <v>45863.66399999999</v>
      </c>
      <c r="Q112" s="137">
        <f t="shared" si="30"/>
        <v>45863.66399999999</v>
      </c>
      <c r="R112" s="137">
        <f t="shared" si="30"/>
        <v>45863.66399999999</v>
      </c>
      <c r="S112" s="137">
        <f t="shared" si="30"/>
        <v>45863.66399999999</v>
      </c>
      <c r="T112" s="137">
        <f t="shared" si="30"/>
        <v>45863.66399999999</v>
      </c>
      <c r="U112" s="148">
        <f t="shared" si="30"/>
        <v>45863.66399999999</v>
      </c>
    </row>
    <row r="113" spans="1:21">
      <c r="C113" s="110">
        <v>9</v>
      </c>
      <c r="D113" s="135" t="s">
        <v>97</v>
      </c>
      <c r="E113" s="141">
        <f t="shared" si="29"/>
        <v>0</v>
      </c>
      <c r="F113" s="142">
        <f>IF(E112=0,0,F112-E112)</f>
        <v>0</v>
      </c>
      <c r="G113" s="99">
        <f t="shared" si="32"/>
        <v>0</v>
      </c>
      <c r="H113" s="137">
        <f t="shared" si="30"/>
        <v>0</v>
      </c>
      <c r="I113" s="137">
        <f t="shared" si="30"/>
        <v>0</v>
      </c>
      <c r="J113" s="137">
        <f t="shared" si="30"/>
        <v>0</v>
      </c>
      <c r="K113" s="137">
        <f t="shared" si="30"/>
        <v>0</v>
      </c>
      <c r="L113" s="137">
        <f t="shared" si="30"/>
        <v>0</v>
      </c>
      <c r="M113" s="137">
        <f t="shared" si="30"/>
        <v>0</v>
      </c>
      <c r="N113" s="137">
        <f t="shared" si="30"/>
        <v>0</v>
      </c>
      <c r="O113" s="137">
        <f t="shared" si="30"/>
        <v>0</v>
      </c>
      <c r="P113" s="137">
        <f t="shared" si="30"/>
        <v>0</v>
      </c>
      <c r="Q113" s="137">
        <f t="shared" si="30"/>
        <v>0</v>
      </c>
      <c r="R113" s="137">
        <f t="shared" si="30"/>
        <v>0</v>
      </c>
      <c r="S113" s="137">
        <f t="shared" si="30"/>
        <v>0</v>
      </c>
      <c r="T113" s="137">
        <f t="shared" si="30"/>
        <v>0</v>
      </c>
      <c r="U113" s="148">
        <f t="shared" si="30"/>
        <v>0</v>
      </c>
    </row>
    <row r="114" spans="1:21">
      <c r="C114" s="143">
        <v>10</v>
      </c>
      <c r="D114" s="144" t="s">
        <v>98</v>
      </c>
      <c r="E114" s="145">
        <f t="shared" si="29"/>
        <v>0</v>
      </c>
      <c r="F114" s="146">
        <f>IF(E113=0,0,F113-E113)</f>
        <v>0</v>
      </c>
      <c r="G114" s="134">
        <f t="shared" si="32"/>
        <v>0</v>
      </c>
      <c r="H114" s="138">
        <f t="shared" si="30"/>
        <v>0</v>
      </c>
      <c r="I114" s="138">
        <f t="shared" si="30"/>
        <v>0</v>
      </c>
      <c r="J114" s="138">
        <f t="shared" si="30"/>
        <v>0</v>
      </c>
      <c r="K114" s="138">
        <f t="shared" si="30"/>
        <v>0</v>
      </c>
      <c r="L114" s="138">
        <f t="shared" si="30"/>
        <v>0</v>
      </c>
      <c r="M114" s="138">
        <f t="shared" si="30"/>
        <v>0</v>
      </c>
      <c r="N114" s="138">
        <f t="shared" si="30"/>
        <v>0</v>
      </c>
      <c r="O114" s="138">
        <f t="shared" si="30"/>
        <v>0</v>
      </c>
      <c r="P114" s="138">
        <f t="shared" si="30"/>
        <v>0</v>
      </c>
      <c r="Q114" s="138">
        <f t="shared" si="30"/>
        <v>0</v>
      </c>
      <c r="R114" s="138">
        <f t="shared" si="30"/>
        <v>0</v>
      </c>
      <c r="S114" s="138">
        <f t="shared" si="30"/>
        <v>0</v>
      </c>
      <c r="T114" s="138">
        <f t="shared" si="30"/>
        <v>0</v>
      </c>
      <c r="U114" s="149">
        <f t="shared" si="30"/>
        <v>0</v>
      </c>
    </row>
    <row r="116" spans="1:21" ht="15.75">
      <c r="A116" s="2">
        <v>2</v>
      </c>
      <c r="C116" s="381" t="str">
        <f>+MENU!$C$52</f>
        <v>3.4.2.2 - PREÇO DE VEÍCULO COM FATOR DE DEPRECIAÇÃO DE VEÍCULO S/ RODAGEM - CONVENCIONAL</v>
      </c>
    </row>
    <row r="117" spans="1:21">
      <c r="C117" s="4"/>
    </row>
    <row r="118" spans="1:21" ht="26.25" customHeight="1">
      <c r="C118" s="705" t="s">
        <v>86</v>
      </c>
      <c r="D118" s="706"/>
      <c r="E118" s="577" t="s">
        <v>108</v>
      </c>
      <c r="F118" s="577" t="s">
        <v>109</v>
      </c>
      <c r="G118" s="578">
        <v>1</v>
      </c>
      <c r="H118" s="572">
        <f t="shared" ref="H118:U118" si="33">+G118+1</f>
        <v>2</v>
      </c>
      <c r="I118" s="572">
        <f t="shared" si="33"/>
        <v>3</v>
      </c>
      <c r="J118" s="572">
        <f t="shared" si="33"/>
        <v>4</v>
      </c>
      <c r="K118" s="572">
        <f t="shared" si="33"/>
        <v>5</v>
      </c>
      <c r="L118" s="572">
        <f t="shared" si="33"/>
        <v>6</v>
      </c>
      <c r="M118" s="572">
        <f t="shared" si="33"/>
        <v>7</v>
      </c>
      <c r="N118" s="572">
        <f t="shared" si="33"/>
        <v>8</v>
      </c>
      <c r="O118" s="572">
        <f t="shared" si="33"/>
        <v>9</v>
      </c>
      <c r="P118" s="572">
        <f t="shared" si="33"/>
        <v>10</v>
      </c>
      <c r="Q118" s="572">
        <f t="shared" si="33"/>
        <v>11</v>
      </c>
      <c r="R118" s="572">
        <f t="shared" si="33"/>
        <v>12</v>
      </c>
      <c r="S118" s="572">
        <f t="shared" si="33"/>
        <v>13</v>
      </c>
      <c r="T118" s="572">
        <f t="shared" si="33"/>
        <v>14</v>
      </c>
      <c r="U118" s="573">
        <f t="shared" si="33"/>
        <v>15</v>
      </c>
    </row>
    <row r="119" spans="1:21">
      <c r="C119" s="110">
        <v>0</v>
      </c>
      <c r="D119" s="135" t="s">
        <v>87</v>
      </c>
      <c r="E119" s="139">
        <f t="shared" ref="E119:E129" si="34">+E66</f>
        <v>0.19999999999999998</v>
      </c>
      <c r="F119" s="140">
        <v>1</v>
      </c>
      <c r="G119" s="133">
        <f>G$98*$F119</f>
        <v>375003.1</v>
      </c>
      <c r="H119" s="133">
        <f t="shared" ref="H119:U129" si="35">H$98*$F119</f>
        <v>375003.1</v>
      </c>
      <c r="I119" s="133">
        <f t="shared" si="35"/>
        <v>375003.1</v>
      </c>
      <c r="J119" s="133">
        <f t="shared" si="35"/>
        <v>375003.1</v>
      </c>
      <c r="K119" s="133">
        <f t="shared" si="35"/>
        <v>375003.1</v>
      </c>
      <c r="L119" s="133">
        <f t="shared" si="35"/>
        <v>375003.1</v>
      </c>
      <c r="M119" s="136">
        <f t="shared" si="35"/>
        <v>375003.1</v>
      </c>
      <c r="N119" s="136">
        <f t="shared" si="35"/>
        <v>375003.1</v>
      </c>
      <c r="O119" s="136">
        <f t="shared" si="35"/>
        <v>375003.1</v>
      </c>
      <c r="P119" s="136">
        <f t="shared" si="35"/>
        <v>375003.1</v>
      </c>
      <c r="Q119" s="136">
        <f t="shared" si="35"/>
        <v>375003.1</v>
      </c>
      <c r="R119" s="136">
        <f t="shared" si="35"/>
        <v>375003.1</v>
      </c>
      <c r="S119" s="136">
        <f t="shared" si="35"/>
        <v>375003.1</v>
      </c>
      <c r="T119" s="136">
        <f t="shared" si="35"/>
        <v>375003.1</v>
      </c>
      <c r="U119" s="150">
        <f t="shared" si="35"/>
        <v>375003.1</v>
      </c>
    </row>
    <row r="120" spans="1:21">
      <c r="C120" s="110">
        <v>1</v>
      </c>
      <c r="D120" s="135" t="s">
        <v>89</v>
      </c>
      <c r="E120" s="141">
        <f t="shared" si="34"/>
        <v>0.17500000000000002</v>
      </c>
      <c r="F120" s="142">
        <f t="shared" ref="F120:F126" si="36">F119-E119</f>
        <v>0.8</v>
      </c>
      <c r="G120" s="99">
        <f t="shared" ref="G120:G129" si="37">G$98*$F120</f>
        <v>300002.48</v>
      </c>
      <c r="H120" s="99">
        <f t="shared" si="35"/>
        <v>300002.48</v>
      </c>
      <c r="I120" s="99">
        <f t="shared" si="35"/>
        <v>300002.48</v>
      </c>
      <c r="J120" s="99">
        <f t="shared" si="35"/>
        <v>300002.48</v>
      </c>
      <c r="K120" s="99">
        <f t="shared" si="35"/>
        <v>300002.48</v>
      </c>
      <c r="L120" s="137">
        <f t="shared" si="35"/>
        <v>300002.48</v>
      </c>
      <c r="M120" s="137">
        <f t="shared" si="35"/>
        <v>300002.48</v>
      </c>
      <c r="N120" s="137">
        <f t="shared" si="35"/>
        <v>300002.48</v>
      </c>
      <c r="O120" s="137">
        <f t="shared" si="35"/>
        <v>300002.48</v>
      </c>
      <c r="P120" s="137">
        <f t="shared" si="35"/>
        <v>300002.48</v>
      </c>
      <c r="Q120" s="137">
        <f t="shared" si="35"/>
        <v>300002.48</v>
      </c>
      <c r="R120" s="137">
        <f t="shared" si="35"/>
        <v>300002.48</v>
      </c>
      <c r="S120" s="137">
        <f t="shared" si="35"/>
        <v>300002.48</v>
      </c>
      <c r="T120" s="137">
        <f t="shared" si="35"/>
        <v>300002.48</v>
      </c>
      <c r="U120" s="100">
        <f t="shared" si="35"/>
        <v>300002.48</v>
      </c>
    </row>
    <row r="121" spans="1:21">
      <c r="C121" s="110">
        <v>2</v>
      </c>
      <c r="D121" s="135" t="s">
        <v>90</v>
      </c>
      <c r="E121" s="141">
        <f t="shared" si="34"/>
        <v>0.15</v>
      </c>
      <c r="F121" s="142">
        <f t="shared" si="36"/>
        <v>0.625</v>
      </c>
      <c r="G121" s="99">
        <f t="shared" si="37"/>
        <v>234376.9375</v>
      </c>
      <c r="H121" s="99">
        <f t="shared" si="35"/>
        <v>234376.9375</v>
      </c>
      <c r="I121" s="99">
        <f t="shared" si="35"/>
        <v>234376.9375</v>
      </c>
      <c r="J121" s="99">
        <f t="shared" si="35"/>
        <v>234376.9375</v>
      </c>
      <c r="K121" s="99">
        <f t="shared" si="35"/>
        <v>234376.9375</v>
      </c>
      <c r="L121" s="137">
        <f t="shared" si="35"/>
        <v>234376.9375</v>
      </c>
      <c r="M121" s="137">
        <f t="shared" si="35"/>
        <v>234376.9375</v>
      </c>
      <c r="N121" s="137">
        <f t="shared" si="35"/>
        <v>234376.9375</v>
      </c>
      <c r="O121" s="137">
        <f t="shared" si="35"/>
        <v>234376.9375</v>
      </c>
      <c r="P121" s="137">
        <f t="shared" si="35"/>
        <v>234376.9375</v>
      </c>
      <c r="Q121" s="137">
        <f t="shared" si="35"/>
        <v>234376.9375</v>
      </c>
      <c r="R121" s="137">
        <f t="shared" si="35"/>
        <v>234376.9375</v>
      </c>
      <c r="S121" s="137">
        <f t="shared" si="35"/>
        <v>234376.9375</v>
      </c>
      <c r="T121" s="137">
        <f t="shared" si="35"/>
        <v>234376.9375</v>
      </c>
      <c r="U121" s="100">
        <f t="shared" si="35"/>
        <v>234376.9375</v>
      </c>
    </row>
    <row r="122" spans="1:21">
      <c r="C122" s="110">
        <v>3</v>
      </c>
      <c r="D122" s="135" t="s">
        <v>91</v>
      </c>
      <c r="E122" s="141">
        <f t="shared" si="34"/>
        <v>0.125</v>
      </c>
      <c r="F122" s="142">
        <f t="shared" si="36"/>
        <v>0.47499999999999998</v>
      </c>
      <c r="G122" s="99">
        <f t="shared" si="37"/>
        <v>178126.47249999997</v>
      </c>
      <c r="H122" s="99">
        <f t="shared" si="35"/>
        <v>178126.47249999997</v>
      </c>
      <c r="I122" s="99">
        <f t="shared" si="35"/>
        <v>178126.47249999997</v>
      </c>
      <c r="J122" s="99">
        <f t="shared" si="35"/>
        <v>178126.47249999997</v>
      </c>
      <c r="K122" s="137">
        <f t="shared" si="35"/>
        <v>178126.47249999997</v>
      </c>
      <c r="L122" s="137">
        <f t="shared" si="35"/>
        <v>178126.47249999997</v>
      </c>
      <c r="M122" s="137">
        <f t="shared" si="35"/>
        <v>178126.47249999997</v>
      </c>
      <c r="N122" s="137">
        <f t="shared" si="35"/>
        <v>178126.47249999997</v>
      </c>
      <c r="O122" s="137">
        <f t="shared" si="35"/>
        <v>178126.47249999997</v>
      </c>
      <c r="P122" s="137">
        <f t="shared" si="35"/>
        <v>178126.47249999997</v>
      </c>
      <c r="Q122" s="137">
        <f t="shared" si="35"/>
        <v>178126.47249999997</v>
      </c>
      <c r="R122" s="137">
        <f t="shared" si="35"/>
        <v>178126.47249999997</v>
      </c>
      <c r="S122" s="137">
        <f t="shared" si="35"/>
        <v>178126.47249999997</v>
      </c>
      <c r="T122" s="137">
        <f t="shared" si="35"/>
        <v>178126.47249999997</v>
      </c>
      <c r="U122" s="100">
        <f t="shared" si="35"/>
        <v>178126.47249999997</v>
      </c>
    </row>
    <row r="123" spans="1:21">
      <c r="C123" s="110">
        <v>4</v>
      </c>
      <c r="D123" s="135" t="s">
        <v>92</v>
      </c>
      <c r="E123" s="141">
        <f t="shared" si="34"/>
        <v>9.9999999999999992E-2</v>
      </c>
      <c r="F123" s="142">
        <f t="shared" si="36"/>
        <v>0.35</v>
      </c>
      <c r="G123" s="99">
        <f t="shared" si="37"/>
        <v>131251.08499999999</v>
      </c>
      <c r="H123" s="99">
        <f t="shared" si="35"/>
        <v>131251.08499999999</v>
      </c>
      <c r="I123" s="99">
        <f t="shared" si="35"/>
        <v>131251.08499999999</v>
      </c>
      <c r="J123" s="99">
        <f t="shared" si="35"/>
        <v>131251.08499999999</v>
      </c>
      <c r="K123" s="137">
        <f t="shared" si="35"/>
        <v>131251.08499999999</v>
      </c>
      <c r="L123" s="137">
        <f t="shared" si="35"/>
        <v>131251.08499999999</v>
      </c>
      <c r="M123" s="137">
        <f t="shared" si="35"/>
        <v>131251.08499999999</v>
      </c>
      <c r="N123" s="137">
        <f t="shared" si="35"/>
        <v>131251.08499999999</v>
      </c>
      <c r="O123" s="137">
        <f t="shared" si="35"/>
        <v>131251.08499999999</v>
      </c>
      <c r="P123" s="137">
        <f t="shared" si="35"/>
        <v>131251.08499999999</v>
      </c>
      <c r="Q123" s="137">
        <f t="shared" si="35"/>
        <v>131251.08499999999</v>
      </c>
      <c r="R123" s="137">
        <f t="shared" si="35"/>
        <v>131251.08499999999</v>
      </c>
      <c r="S123" s="137">
        <f t="shared" si="35"/>
        <v>131251.08499999999</v>
      </c>
      <c r="T123" s="137">
        <f t="shared" si="35"/>
        <v>131251.08499999999</v>
      </c>
      <c r="U123" s="100">
        <f t="shared" si="35"/>
        <v>131251.08499999999</v>
      </c>
    </row>
    <row r="124" spans="1:21">
      <c r="C124" s="110">
        <v>5</v>
      </c>
      <c r="D124" s="135" t="s">
        <v>93</v>
      </c>
      <c r="E124" s="141">
        <f t="shared" si="34"/>
        <v>7.4999999999999997E-2</v>
      </c>
      <c r="F124" s="142">
        <f t="shared" si="36"/>
        <v>0.25</v>
      </c>
      <c r="G124" s="99">
        <f t="shared" si="37"/>
        <v>93750.774999999994</v>
      </c>
      <c r="H124" s="99">
        <f t="shared" si="35"/>
        <v>93750.774999999994</v>
      </c>
      <c r="I124" s="99">
        <f t="shared" si="35"/>
        <v>93750.774999999994</v>
      </c>
      <c r="J124" s="137">
        <f t="shared" si="35"/>
        <v>93750.774999999994</v>
      </c>
      <c r="K124" s="137">
        <f t="shared" si="35"/>
        <v>93750.774999999994</v>
      </c>
      <c r="L124" s="137">
        <f t="shared" si="35"/>
        <v>93750.774999999994</v>
      </c>
      <c r="M124" s="137">
        <f t="shared" si="35"/>
        <v>93750.774999999994</v>
      </c>
      <c r="N124" s="137">
        <f t="shared" si="35"/>
        <v>93750.774999999994</v>
      </c>
      <c r="O124" s="137">
        <f t="shared" si="35"/>
        <v>93750.774999999994</v>
      </c>
      <c r="P124" s="137">
        <f t="shared" si="35"/>
        <v>93750.774999999994</v>
      </c>
      <c r="Q124" s="137">
        <f t="shared" si="35"/>
        <v>93750.774999999994</v>
      </c>
      <c r="R124" s="137">
        <f t="shared" si="35"/>
        <v>93750.774999999994</v>
      </c>
      <c r="S124" s="137">
        <f t="shared" si="35"/>
        <v>93750.774999999994</v>
      </c>
      <c r="T124" s="137">
        <f t="shared" si="35"/>
        <v>93750.774999999994</v>
      </c>
      <c r="U124" s="100">
        <f t="shared" si="35"/>
        <v>93750.774999999994</v>
      </c>
    </row>
    <row r="125" spans="1:21">
      <c r="C125" s="110">
        <v>6</v>
      </c>
      <c r="D125" s="135" t="s">
        <v>94</v>
      </c>
      <c r="E125" s="141">
        <f t="shared" si="34"/>
        <v>4.9999999999999996E-2</v>
      </c>
      <c r="F125" s="142">
        <f t="shared" si="36"/>
        <v>0.17499999999999999</v>
      </c>
      <c r="G125" s="99">
        <f t="shared" si="37"/>
        <v>65625.542499999996</v>
      </c>
      <c r="H125" s="99">
        <f t="shared" si="35"/>
        <v>65625.542499999996</v>
      </c>
      <c r="I125" s="99">
        <f t="shared" si="35"/>
        <v>65625.542499999996</v>
      </c>
      <c r="J125" s="137">
        <f t="shared" si="35"/>
        <v>65625.542499999996</v>
      </c>
      <c r="K125" s="137">
        <f t="shared" si="35"/>
        <v>65625.542499999996</v>
      </c>
      <c r="L125" s="137">
        <f t="shared" si="35"/>
        <v>65625.542499999996</v>
      </c>
      <c r="M125" s="137">
        <f t="shared" si="35"/>
        <v>65625.542499999996</v>
      </c>
      <c r="N125" s="137">
        <f t="shared" si="35"/>
        <v>65625.542499999996</v>
      </c>
      <c r="O125" s="137">
        <f t="shared" si="35"/>
        <v>65625.542499999996</v>
      </c>
      <c r="P125" s="137">
        <f t="shared" si="35"/>
        <v>65625.542499999996</v>
      </c>
      <c r="Q125" s="137">
        <f t="shared" si="35"/>
        <v>65625.542499999996</v>
      </c>
      <c r="R125" s="137">
        <f t="shared" si="35"/>
        <v>65625.542499999996</v>
      </c>
      <c r="S125" s="137">
        <f t="shared" si="35"/>
        <v>65625.542499999996</v>
      </c>
      <c r="T125" s="137">
        <f t="shared" si="35"/>
        <v>65625.542499999996</v>
      </c>
      <c r="U125" s="100">
        <f t="shared" si="35"/>
        <v>65625.542499999996</v>
      </c>
    </row>
    <row r="126" spans="1:21">
      <c r="C126" s="110">
        <v>7</v>
      </c>
      <c r="D126" s="135" t="s">
        <v>95</v>
      </c>
      <c r="E126" s="141">
        <f t="shared" si="34"/>
        <v>2.4999999999999998E-2</v>
      </c>
      <c r="F126" s="142">
        <f t="shared" si="36"/>
        <v>0.125</v>
      </c>
      <c r="G126" s="99">
        <f t="shared" si="37"/>
        <v>46875.387499999997</v>
      </c>
      <c r="H126" s="99">
        <f t="shared" si="35"/>
        <v>46875.387499999997</v>
      </c>
      <c r="I126" s="137">
        <f t="shared" si="35"/>
        <v>46875.387499999997</v>
      </c>
      <c r="J126" s="137">
        <f t="shared" si="35"/>
        <v>46875.387499999997</v>
      </c>
      <c r="K126" s="137">
        <f t="shared" si="35"/>
        <v>46875.387499999997</v>
      </c>
      <c r="L126" s="137">
        <f t="shared" si="35"/>
        <v>46875.387499999997</v>
      </c>
      <c r="M126" s="137">
        <f t="shared" si="35"/>
        <v>46875.387499999997</v>
      </c>
      <c r="N126" s="137">
        <f t="shared" si="35"/>
        <v>46875.387499999997</v>
      </c>
      <c r="O126" s="137">
        <f t="shared" si="35"/>
        <v>46875.387499999997</v>
      </c>
      <c r="P126" s="137">
        <f t="shared" si="35"/>
        <v>46875.387499999997</v>
      </c>
      <c r="Q126" s="137">
        <f t="shared" si="35"/>
        <v>46875.387499999997</v>
      </c>
      <c r="R126" s="137">
        <f t="shared" si="35"/>
        <v>46875.387499999997</v>
      </c>
      <c r="S126" s="137">
        <f t="shared" si="35"/>
        <v>46875.387499999997</v>
      </c>
      <c r="T126" s="137">
        <f t="shared" si="35"/>
        <v>46875.387499999997</v>
      </c>
      <c r="U126" s="100">
        <f t="shared" si="35"/>
        <v>46875.387499999997</v>
      </c>
    </row>
    <row r="127" spans="1:21">
      <c r="C127" s="110">
        <v>8</v>
      </c>
      <c r="D127" s="135" t="s">
        <v>96</v>
      </c>
      <c r="E127" s="141">
        <f t="shared" si="34"/>
        <v>0</v>
      </c>
      <c r="F127" s="142">
        <f>F126-E126</f>
        <v>0.1</v>
      </c>
      <c r="G127" s="99">
        <f t="shared" si="37"/>
        <v>37500.31</v>
      </c>
      <c r="H127" s="99">
        <f t="shared" si="35"/>
        <v>37500.31</v>
      </c>
      <c r="I127" s="137">
        <f t="shared" si="35"/>
        <v>37500.31</v>
      </c>
      <c r="J127" s="137">
        <f t="shared" si="35"/>
        <v>37500.31</v>
      </c>
      <c r="K127" s="137">
        <f t="shared" si="35"/>
        <v>37500.31</v>
      </c>
      <c r="L127" s="137">
        <f t="shared" si="35"/>
        <v>37500.31</v>
      </c>
      <c r="M127" s="137">
        <f t="shared" si="35"/>
        <v>37500.31</v>
      </c>
      <c r="N127" s="137">
        <f t="shared" si="35"/>
        <v>37500.31</v>
      </c>
      <c r="O127" s="137">
        <f t="shared" si="35"/>
        <v>37500.31</v>
      </c>
      <c r="P127" s="137">
        <f t="shared" si="35"/>
        <v>37500.31</v>
      </c>
      <c r="Q127" s="137">
        <f t="shared" si="35"/>
        <v>37500.31</v>
      </c>
      <c r="R127" s="137">
        <f t="shared" si="35"/>
        <v>37500.31</v>
      </c>
      <c r="S127" s="137">
        <f t="shared" si="35"/>
        <v>37500.31</v>
      </c>
      <c r="T127" s="137">
        <f t="shared" si="35"/>
        <v>37500.31</v>
      </c>
      <c r="U127" s="100">
        <f t="shared" si="35"/>
        <v>37500.31</v>
      </c>
    </row>
    <row r="128" spans="1:21">
      <c r="C128" s="110">
        <v>9</v>
      </c>
      <c r="D128" s="135" t="s">
        <v>97</v>
      </c>
      <c r="E128" s="141">
        <f t="shared" si="34"/>
        <v>0</v>
      </c>
      <c r="F128" s="142">
        <f>IF(E127=0,0,F127-E127)</f>
        <v>0</v>
      </c>
      <c r="G128" s="99">
        <f t="shared" si="37"/>
        <v>0</v>
      </c>
      <c r="H128" s="137">
        <f t="shared" si="35"/>
        <v>0</v>
      </c>
      <c r="I128" s="137">
        <f t="shared" si="35"/>
        <v>0</v>
      </c>
      <c r="J128" s="137">
        <f t="shared" si="35"/>
        <v>0</v>
      </c>
      <c r="K128" s="137">
        <f t="shared" si="35"/>
        <v>0</v>
      </c>
      <c r="L128" s="137">
        <f t="shared" si="35"/>
        <v>0</v>
      </c>
      <c r="M128" s="137">
        <f t="shared" si="35"/>
        <v>0</v>
      </c>
      <c r="N128" s="137">
        <f t="shared" si="35"/>
        <v>0</v>
      </c>
      <c r="O128" s="137">
        <f t="shared" si="35"/>
        <v>0</v>
      </c>
      <c r="P128" s="137">
        <f t="shared" si="35"/>
        <v>0</v>
      </c>
      <c r="Q128" s="137">
        <f t="shared" si="35"/>
        <v>0</v>
      </c>
      <c r="R128" s="137">
        <f t="shared" si="35"/>
        <v>0</v>
      </c>
      <c r="S128" s="137">
        <f t="shared" si="35"/>
        <v>0</v>
      </c>
      <c r="T128" s="137">
        <f t="shared" si="35"/>
        <v>0</v>
      </c>
      <c r="U128" s="100">
        <f t="shared" si="35"/>
        <v>0</v>
      </c>
    </row>
    <row r="129" spans="1:21">
      <c r="C129" s="143">
        <v>10</v>
      </c>
      <c r="D129" s="144" t="s">
        <v>98</v>
      </c>
      <c r="E129" s="145">
        <f t="shared" si="34"/>
        <v>0</v>
      </c>
      <c r="F129" s="146">
        <f>IF(E128=0,0,F128-E128)</f>
        <v>0</v>
      </c>
      <c r="G129" s="134">
        <f t="shared" si="37"/>
        <v>0</v>
      </c>
      <c r="H129" s="138">
        <f t="shared" si="35"/>
        <v>0</v>
      </c>
      <c r="I129" s="138">
        <f t="shared" si="35"/>
        <v>0</v>
      </c>
      <c r="J129" s="138">
        <f t="shared" si="35"/>
        <v>0</v>
      </c>
      <c r="K129" s="138">
        <f t="shared" si="35"/>
        <v>0</v>
      </c>
      <c r="L129" s="138">
        <f t="shared" si="35"/>
        <v>0</v>
      </c>
      <c r="M129" s="138">
        <f t="shared" si="35"/>
        <v>0</v>
      </c>
      <c r="N129" s="138">
        <f t="shared" si="35"/>
        <v>0</v>
      </c>
      <c r="O129" s="138">
        <f t="shared" si="35"/>
        <v>0</v>
      </c>
      <c r="P129" s="138">
        <f t="shared" si="35"/>
        <v>0</v>
      </c>
      <c r="Q129" s="138">
        <f t="shared" si="35"/>
        <v>0</v>
      </c>
      <c r="R129" s="138">
        <f t="shared" si="35"/>
        <v>0</v>
      </c>
      <c r="S129" s="138">
        <f t="shared" si="35"/>
        <v>0</v>
      </c>
      <c r="T129" s="138">
        <f t="shared" si="35"/>
        <v>0</v>
      </c>
      <c r="U129" s="151">
        <f t="shared" si="35"/>
        <v>0</v>
      </c>
    </row>
    <row r="131" spans="1:21" ht="15.75">
      <c r="A131" s="2">
        <v>3</v>
      </c>
      <c r="C131" s="381" t="str">
        <f>+MENU!$C$53</f>
        <v>3.4.2.3 - PREÇO DE VEÍCULO COM FATOR DE DEPRECIAÇÃO DE VEÍCULO S/ RODAGEM - -</v>
      </c>
    </row>
    <row r="132" spans="1:21">
      <c r="C132" s="4"/>
    </row>
    <row r="133" spans="1:21" ht="26.25" customHeight="1">
      <c r="C133" s="705" t="s">
        <v>86</v>
      </c>
      <c r="D133" s="706"/>
      <c r="E133" s="577" t="s">
        <v>108</v>
      </c>
      <c r="F133" s="577" t="s">
        <v>109</v>
      </c>
      <c r="G133" s="578">
        <v>1</v>
      </c>
      <c r="H133" s="572">
        <f t="shared" ref="H133:U133" si="38">+G133+1</f>
        <v>2</v>
      </c>
      <c r="I133" s="572">
        <f t="shared" si="38"/>
        <v>3</v>
      </c>
      <c r="J133" s="572">
        <f t="shared" si="38"/>
        <v>4</v>
      </c>
      <c r="K133" s="572">
        <f t="shared" si="38"/>
        <v>5</v>
      </c>
      <c r="L133" s="572">
        <f t="shared" si="38"/>
        <v>6</v>
      </c>
      <c r="M133" s="572">
        <f t="shared" si="38"/>
        <v>7</v>
      </c>
      <c r="N133" s="572">
        <f t="shared" si="38"/>
        <v>8</v>
      </c>
      <c r="O133" s="572">
        <f t="shared" si="38"/>
        <v>9</v>
      </c>
      <c r="P133" s="572">
        <f t="shared" si="38"/>
        <v>10</v>
      </c>
      <c r="Q133" s="572">
        <f t="shared" si="38"/>
        <v>11</v>
      </c>
      <c r="R133" s="572">
        <f t="shared" si="38"/>
        <v>12</v>
      </c>
      <c r="S133" s="572">
        <f t="shared" si="38"/>
        <v>13</v>
      </c>
      <c r="T133" s="572">
        <f t="shared" si="38"/>
        <v>14</v>
      </c>
      <c r="U133" s="573">
        <f t="shared" si="38"/>
        <v>15</v>
      </c>
    </row>
    <row r="134" spans="1:21">
      <c r="C134" s="110">
        <v>0</v>
      </c>
      <c r="D134" s="135" t="s">
        <v>87</v>
      </c>
      <c r="E134" s="139">
        <f t="shared" ref="E134:E144" si="39">+E81</f>
        <v>0</v>
      </c>
      <c r="F134" s="140">
        <v>1</v>
      </c>
      <c r="G134" s="133">
        <f>G$99*$F134</f>
        <v>0</v>
      </c>
      <c r="H134" s="133">
        <f t="shared" ref="H134:U144" si="40">H$99*$F134</f>
        <v>0</v>
      </c>
      <c r="I134" s="133">
        <f t="shared" si="40"/>
        <v>0</v>
      </c>
      <c r="J134" s="133">
        <f t="shared" si="40"/>
        <v>0</v>
      </c>
      <c r="K134" s="133">
        <f t="shared" si="40"/>
        <v>0</v>
      </c>
      <c r="L134" s="133">
        <f t="shared" si="40"/>
        <v>0</v>
      </c>
      <c r="M134" s="136">
        <f t="shared" si="40"/>
        <v>0</v>
      </c>
      <c r="N134" s="136">
        <f t="shared" si="40"/>
        <v>0</v>
      </c>
      <c r="O134" s="136">
        <f t="shared" si="40"/>
        <v>0</v>
      </c>
      <c r="P134" s="136">
        <f t="shared" si="40"/>
        <v>0</v>
      </c>
      <c r="Q134" s="136">
        <f t="shared" si="40"/>
        <v>0</v>
      </c>
      <c r="R134" s="136">
        <f t="shared" si="40"/>
        <v>0</v>
      </c>
      <c r="S134" s="136">
        <f t="shared" si="40"/>
        <v>0</v>
      </c>
      <c r="T134" s="136">
        <f t="shared" si="40"/>
        <v>0</v>
      </c>
      <c r="U134" s="147">
        <f t="shared" si="40"/>
        <v>0</v>
      </c>
    </row>
    <row r="135" spans="1:21">
      <c r="C135" s="110">
        <v>1</v>
      </c>
      <c r="D135" s="135" t="s">
        <v>89</v>
      </c>
      <c r="E135" s="141">
        <f t="shared" si="39"/>
        <v>0</v>
      </c>
      <c r="F135" s="142">
        <f t="shared" ref="F135:F141" si="41">F134-E134</f>
        <v>1</v>
      </c>
      <c r="G135" s="99">
        <f t="shared" ref="G135:G144" si="42">G$99*$F135</f>
        <v>0</v>
      </c>
      <c r="H135" s="99">
        <f t="shared" si="40"/>
        <v>0</v>
      </c>
      <c r="I135" s="99">
        <f t="shared" si="40"/>
        <v>0</v>
      </c>
      <c r="J135" s="99">
        <f t="shared" si="40"/>
        <v>0</v>
      </c>
      <c r="K135" s="99">
        <f t="shared" si="40"/>
        <v>0</v>
      </c>
      <c r="L135" s="137">
        <f t="shared" si="40"/>
        <v>0</v>
      </c>
      <c r="M135" s="137">
        <f t="shared" si="40"/>
        <v>0</v>
      </c>
      <c r="N135" s="137">
        <f t="shared" si="40"/>
        <v>0</v>
      </c>
      <c r="O135" s="137">
        <f t="shared" si="40"/>
        <v>0</v>
      </c>
      <c r="P135" s="137">
        <f t="shared" si="40"/>
        <v>0</v>
      </c>
      <c r="Q135" s="137">
        <f t="shared" si="40"/>
        <v>0</v>
      </c>
      <c r="R135" s="137">
        <f t="shared" si="40"/>
        <v>0</v>
      </c>
      <c r="S135" s="137">
        <f t="shared" si="40"/>
        <v>0</v>
      </c>
      <c r="T135" s="137">
        <f t="shared" si="40"/>
        <v>0</v>
      </c>
      <c r="U135" s="148">
        <f t="shared" si="40"/>
        <v>0</v>
      </c>
    </row>
    <row r="136" spans="1:21">
      <c r="C136" s="110">
        <v>2</v>
      </c>
      <c r="D136" s="135" t="s">
        <v>90</v>
      </c>
      <c r="E136" s="141">
        <f t="shared" si="39"/>
        <v>0</v>
      </c>
      <c r="F136" s="142">
        <f t="shared" si="41"/>
        <v>1</v>
      </c>
      <c r="G136" s="99">
        <f t="shared" si="42"/>
        <v>0</v>
      </c>
      <c r="H136" s="99">
        <f t="shared" si="40"/>
        <v>0</v>
      </c>
      <c r="I136" s="99">
        <f t="shared" si="40"/>
        <v>0</v>
      </c>
      <c r="J136" s="99">
        <f t="shared" si="40"/>
        <v>0</v>
      </c>
      <c r="K136" s="99">
        <f t="shared" si="40"/>
        <v>0</v>
      </c>
      <c r="L136" s="137">
        <f t="shared" si="40"/>
        <v>0</v>
      </c>
      <c r="M136" s="137">
        <f t="shared" si="40"/>
        <v>0</v>
      </c>
      <c r="N136" s="137">
        <f t="shared" si="40"/>
        <v>0</v>
      </c>
      <c r="O136" s="137">
        <f t="shared" si="40"/>
        <v>0</v>
      </c>
      <c r="P136" s="137">
        <f t="shared" si="40"/>
        <v>0</v>
      </c>
      <c r="Q136" s="137">
        <f t="shared" si="40"/>
        <v>0</v>
      </c>
      <c r="R136" s="137">
        <f t="shared" si="40"/>
        <v>0</v>
      </c>
      <c r="S136" s="137">
        <f t="shared" si="40"/>
        <v>0</v>
      </c>
      <c r="T136" s="137">
        <f t="shared" si="40"/>
        <v>0</v>
      </c>
      <c r="U136" s="148">
        <f t="shared" si="40"/>
        <v>0</v>
      </c>
    </row>
    <row r="137" spans="1:21">
      <c r="C137" s="110">
        <v>3</v>
      </c>
      <c r="D137" s="135" t="s">
        <v>91</v>
      </c>
      <c r="E137" s="141">
        <f t="shared" si="39"/>
        <v>0</v>
      </c>
      <c r="F137" s="142">
        <f t="shared" si="41"/>
        <v>1</v>
      </c>
      <c r="G137" s="99">
        <f t="shared" si="42"/>
        <v>0</v>
      </c>
      <c r="H137" s="99">
        <f t="shared" si="40"/>
        <v>0</v>
      </c>
      <c r="I137" s="99">
        <f t="shared" si="40"/>
        <v>0</v>
      </c>
      <c r="J137" s="99">
        <f t="shared" si="40"/>
        <v>0</v>
      </c>
      <c r="K137" s="137">
        <f t="shared" si="40"/>
        <v>0</v>
      </c>
      <c r="L137" s="137">
        <f t="shared" si="40"/>
        <v>0</v>
      </c>
      <c r="M137" s="137">
        <f t="shared" si="40"/>
        <v>0</v>
      </c>
      <c r="N137" s="137">
        <f t="shared" si="40"/>
        <v>0</v>
      </c>
      <c r="O137" s="137">
        <f t="shared" si="40"/>
        <v>0</v>
      </c>
      <c r="P137" s="137">
        <f t="shared" si="40"/>
        <v>0</v>
      </c>
      <c r="Q137" s="137">
        <f t="shared" si="40"/>
        <v>0</v>
      </c>
      <c r="R137" s="137">
        <f t="shared" si="40"/>
        <v>0</v>
      </c>
      <c r="S137" s="137">
        <f t="shared" si="40"/>
        <v>0</v>
      </c>
      <c r="T137" s="137">
        <f t="shared" si="40"/>
        <v>0</v>
      </c>
      <c r="U137" s="148">
        <f t="shared" si="40"/>
        <v>0</v>
      </c>
    </row>
    <row r="138" spans="1:21">
      <c r="C138" s="110">
        <v>4</v>
      </c>
      <c r="D138" s="135" t="s">
        <v>92</v>
      </c>
      <c r="E138" s="141">
        <f t="shared" si="39"/>
        <v>0</v>
      </c>
      <c r="F138" s="142">
        <f t="shared" si="41"/>
        <v>1</v>
      </c>
      <c r="G138" s="99">
        <f t="shared" si="42"/>
        <v>0</v>
      </c>
      <c r="H138" s="99">
        <f t="shared" si="40"/>
        <v>0</v>
      </c>
      <c r="I138" s="99">
        <f t="shared" si="40"/>
        <v>0</v>
      </c>
      <c r="J138" s="99">
        <f t="shared" si="40"/>
        <v>0</v>
      </c>
      <c r="K138" s="137">
        <f t="shared" si="40"/>
        <v>0</v>
      </c>
      <c r="L138" s="137">
        <f t="shared" si="40"/>
        <v>0</v>
      </c>
      <c r="M138" s="137">
        <f t="shared" si="40"/>
        <v>0</v>
      </c>
      <c r="N138" s="137">
        <f t="shared" si="40"/>
        <v>0</v>
      </c>
      <c r="O138" s="137">
        <f t="shared" si="40"/>
        <v>0</v>
      </c>
      <c r="P138" s="137">
        <f t="shared" si="40"/>
        <v>0</v>
      </c>
      <c r="Q138" s="137">
        <f t="shared" si="40"/>
        <v>0</v>
      </c>
      <c r="R138" s="137">
        <f t="shared" si="40"/>
        <v>0</v>
      </c>
      <c r="S138" s="137">
        <f t="shared" si="40"/>
        <v>0</v>
      </c>
      <c r="T138" s="137">
        <f t="shared" si="40"/>
        <v>0</v>
      </c>
      <c r="U138" s="148">
        <f t="shared" si="40"/>
        <v>0</v>
      </c>
    </row>
    <row r="139" spans="1:21">
      <c r="C139" s="110">
        <v>5</v>
      </c>
      <c r="D139" s="135" t="s">
        <v>93</v>
      </c>
      <c r="E139" s="141">
        <f t="shared" si="39"/>
        <v>0</v>
      </c>
      <c r="F139" s="142">
        <f t="shared" si="41"/>
        <v>1</v>
      </c>
      <c r="G139" s="99">
        <f t="shared" si="42"/>
        <v>0</v>
      </c>
      <c r="H139" s="99">
        <f t="shared" si="40"/>
        <v>0</v>
      </c>
      <c r="I139" s="99">
        <f t="shared" si="40"/>
        <v>0</v>
      </c>
      <c r="J139" s="137">
        <f t="shared" si="40"/>
        <v>0</v>
      </c>
      <c r="K139" s="137">
        <f t="shared" si="40"/>
        <v>0</v>
      </c>
      <c r="L139" s="137">
        <f t="shared" si="40"/>
        <v>0</v>
      </c>
      <c r="M139" s="137">
        <f t="shared" si="40"/>
        <v>0</v>
      </c>
      <c r="N139" s="137">
        <f t="shared" si="40"/>
        <v>0</v>
      </c>
      <c r="O139" s="137">
        <f t="shared" si="40"/>
        <v>0</v>
      </c>
      <c r="P139" s="137">
        <f t="shared" si="40"/>
        <v>0</v>
      </c>
      <c r="Q139" s="137">
        <f t="shared" si="40"/>
        <v>0</v>
      </c>
      <c r="R139" s="137">
        <f t="shared" si="40"/>
        <v>0</v>
      </c>
      <c r="S139" s="137">
        <f t="shared" si="40"/>
        <v>0</v>
      </c>
      <c r="T139" s="137">
        <f t="shared" si="40"/>
        <v>0</v>
      </c>
      <c r="U139" s="148">
        <f t="shared" si="40"/>
        <v>0</v>
      </c>
    </row>
    <row r="140" spans="1:21">
      <c r="C140" s="110">
        <v>6</v>
      </c>
      <c r="D140" s="135" t="s">
        <v>94</v>
      </c>
      <c r="E140" s="141">
        <f t="shared" si="39"/>
        <v>0</v>
      </c>
      <c r="F140" s="142">
        <f t="shared" si="41"/>
        <v>1</v>
      </c>
      <c r="G140" s="99">
        <f t="shared" si="42"/>
        <v>0</v>
      </c>
      <c r="H140" s="99">
        <f t="shared" si="40"/>
        <v>0</v>
      </c>
      <c r="I140" s="99">
        <f t="shared" si="40"/>
        <v>0</v>
      </c>
      <c r="J140" s="137">
        <f t="shared" si="40"/>
        <v>0</v>
      </c>
      <c r="K140" s="137">
        <f t="shared" si="40"/>
        <v>0</v>
      </c>
      <c r="L140" s="137">
        <f t="shared" si="40"/>
        <v>0</v>
      </c>
      <c r="M140" s="137">
        <f t="shared" si="40"/>
        <v>0</v>
      </c>
      <c r="N140" s="137">
        <f t="shared" si="40"/>
        <v>0</v>
      </c>
      <c r="O140" s="137">
        <f t="shared" si="40"/>
        <v>0</v>
      </c>
      <c r="P140" s="137">
        <f t="shared" si="40"/>
        <v>0</v>
      </c>
      <c r="Q140" s="137">
        <f t="shared" si="40"/>
        <v>0</v>
      </c>
      <c r="R140" s="137">
        <f t="shared" si="40"/>
        <v>0</v>
      </c>
      <c r="S140" s="137">
        <f t="shared" si="40"/>
        <v>0</v>
      </c>
      <c r="T140" s="137">
        <f t="shared" si="40"/>
        <v>0</v>
      </c>
      <c r="U140" s="148">
        <f t="shared" si="40"/>
        <v>0</v>
      </c>
    </row>
    <row r="141" spans="1:21">
      <c r="C141" s="110">
        <v>7</v>
      </c>
      <c r="D141" s="135" t="s">
        <v>95</v>
      </c>
      <c r="E141" s="141">
        <f t="shared" si="39"/>
        <v>0</v>
      </c>
      <c r="F141" s="142">
        <f t="shared" si="41"/>
        <v>1</v>
      </c>
      <c r="G141" s="99">
        <f t="shared" si="42"/>
        <v>0</v>
      </c>
      <c r="H141" s="99">
        <f t="shared" si="40"/>
        <v>0</v>
      </c>
      <c r="I141" s="137">
        <f t="shared" si="40"/>
        <v>0</v>
      </c>
      <c r="J141" s="137">
        <f t="shared" si="40"/>
        <v>0</v>
      </c>
      <c r="K141" s="137">
        <f t="shared" si="40"/>
        <v>0</v>
      </c>
      <c r="L141" s="137">
        <f t="shared" si="40"/>
        <v>0</v>
      </c>
      <c r="M141" s="137">
        <f t="shared" si="40"/>
        <v>0</v>
      </c>
      <c r="N141" s="137">
        <f t="shared" si="40"/>
        <v>0</v>
      </c>
      <c r="O141" s="137">
        <f t="shared" si="40"/>
        <v>0</v>
      </c>
      <c r="P141" s="137">
        <f t="shared" si="40"/>
        <v>0</v>
      </c>
      <c r="Q141" s="137">
        <f t="shared" si="40"/>
        <v>0</v>
      </c>
      <c r="R141" s="137">
        <f t="shared" si="40"/>
        <v>0</v>
      </c>
      <c r="S141" s="137">
        <f t="shared" si="40"/>
        <v>0</v>
      </c>
      <c r="T141" s="137">
        <f t="shared" si="40"/>
        <v>0</v>
      </c>
      <c r="U141" s="148">
        <f t="shared" si="40"/>
        <v>0</v>
      </c>
    </row>
    <row r="142" spans="1:21">
      <c r="C142" s="110">
        <v>8</v>
      </c>
      <c r="D142" s="135" t="s">
        <v>96</v>
      </c>
      <c r="E142" s="141">
        <f t="shared" si="39"/>
        <v>0</v>
      </c>
      <c r="F142" s="142">
        <f>F141-E141</f>
        <v>1</v>
      </c>
      <c r="G142" s="99">
        <f t="shared" si="42"/>
        <v>0</v>
      </c>
      <c r="H142" s="99">
        <f t="shared" si="40"/>
        <v>0</v>
      </c>
      <c r="I142" s="137">
        <f t="shared" si="40"/>
        <v>0</v>
      </c>
      <c r="J142" s="137">
        <f t="shared" si="40"/>
        <v>0</v>
      </c>
      <c r="K142" s="137">
        <f t="shared" si="40"/>
        <v>0</v>
      </c>
      <c r="L142" s="137">
        <f t="shared" si="40"/>
        <v>0</v>
      </c>
      <c r="M142" s="137">
        <f t="shared" si="40"/>
        <v>0</v>
      </c>
      <c r="N142" s="137">
        <f t="shared" si="40"/>
        <v>0</v>
      </c>
      <c r="O142" s="137">
        <f t="shared" si="40"/>
        <v>0</v>
      </c>
      <c r="P142" s="137">
        <f t="shared" si="40"/>
        <v>0</v>
      </c>
      <c r="Q142" s="137">
        <f t="shared" si="40"/>
        <v>0</v>
      </c>
      <c r="R142" s="137">
        <f t="shared" si="40"/>
        <v>0</v>
      </c>
      <c r="S142" s="137">
        <f t="shared" si="40"/>
        <v>0</v>
      </c>
      <c r="T142" s="137">
        <f t="shared" si="40"/>
        <v>0</v>
      </c>
      <c r="U142" s="148">
        <f t="shared" si="40"/>
        <v>0</v>
      </c>
    </row>
    <row r="143" spans="1:21">
      <c r="C143" s="110">
        <v>9</v>
      </c>
      <c r="D143" s="135" t="s">
        <v>97</v>
      </c>
      <c r="E143" s="141">
        <f t="shared" si="39"/>
        <v>0</v>
      </c>
      <c r="F143" s="142">
        <f>IF(E142=0,0,F142-E142)</f>
        <v>0</v>
      </c>
      <c r="G143" s="99">
        <f t="shared" si="42"/>
        <v>0</v>
      </c>
      <c r="H143" s="137">
        <f t="shared" si="40"/>
        <v>0</v>
      </c>
      <c r="I143" s="137">
        <f t="shared" si="40"/>
        <v>0</v>
      </c>
      <c r="J143" s="137">
        <f t="shared" si="40"/>
        <v>0</v>
      </c>
      <c r="K143" s="137">
        <f t="shared" si="40"/>
        <v>0</v>
      </c>
      <c r="L143" s="137">
        <f t="shared" si="40"/>
        <v>0</v>
      </c>
      <c r="M143" s="137">
        <f t="shared" si="40"/>
        <v>0</v>
      </c>
      <c r="N143" s="137">
        <f t="shared" si="40"/>
        <v>0</v>
      </c>
      <c r="O143" s="137">
        <f t="shared" si="40"/>
        <v>0</v>
      </c>
      <c r="P143" s="137">
        <f t="shared" si="40"/>
        <v>0</v>
      </c>
      <c r="Q143" s="137">
        <f t="shared" si="40"/>
        <v>0</v>
      </c>
      <c r="R143" s="137">
        <f t="shared" si="40"/>
        <v>0</v>
      </c>
      <c r="S143" s="137">
        <f t="shared" si="40"/>
        <v>0</v>
      </c>
      <c r="T143" s="137">
        <f t="shared" si="40"/>
        <v>0</v>
      </c>
      <c r="U143" s="148">
        <f t="shared" si="40"/>
        <v>0</v>
      </c>
    </row>
    <row r="144" spans="1:21">
      <c r="C144" s="143">
        <v>10</v>
      </c>
      <c r="D144" s="144" t="s">
        <v>98</v>
      </c>
      <c r="E144" s="145">
        <f t="shared" si="39"/>
        <v>0</v>
      </c>
      <c r="F144" s="146">
        <f>IF(E143=0,0,F143-E143)</f>
        <v>0</v>
      </c>
      <c r="G144" s="134">
        <f t="shared" si="42"/>
        <v>0</v>
      </c>
      <c r="H144" s="138">
        <f t="shared" si="40"/>
        <v>0</v>
      </c>
      <c r="I144" s="138">
        <f t="shared" si="40"/>
        <v>0</v>
      </c>
      <c r="J144" s="138">
        <f t="shared" si="40"/>
        <v>0</v>
      </c>
      <c r="K144" s="138">
        <f t="shared" si="40"/>
        <v>0</v>
      </c>
      <c r="L144" s="138">
        <f t="shared" si="40"/>
        <v>0</v>
      </c>
      <c r="M144" s="138">
        <f t="shared" si="40"/>
        <v>0</v>
      </c>
      <c r="N144" s="138">
        <f t="shared" si="40"/>
        <v>0</v>
      </c>
      <c r="O144" s="138">
        <f t="shared" si="40"/>
        <v>0</v>
      </c>
      <c r="P144" s="138">
        <f t="shared" si="40"/>
        <v>0</v>
      </c>
      <c r="Q144" s="138">
        <f t="shared" si="40"/>
        <v>0</v>
      </c>
      <c r="R144" s="138">
        <f t="shared" si="40"/>
        <v>0</v>
      </c>
      <c r="S144" s="138">
        <f t="shared" si="40"/>
        <v>0</v>
      </c>
      <c r="T144" s="138">
        <f t="shared" si="40"/>
        <v>0</v>
      </c>
      <c r="U144" s="149">
        <f t="shared" si="40"/>
        <v>0</v>
      </c>
    </row>
    <row r="147" spans="1:21" ht="15.75">
      <c r="C147" s="381" t="str">
        <f>+MENU!$C$54</f>
        <v>3.5. - PEÇAS E ACESSÓRIOS</v>
      </c>
    </row>
    <row r="148" spans="1:21">
      <c r="C148" s="4"/>
    </row>
    <row r="149" spans="1:21" ht="18" customHeight="1">
      <c r="C149" s="6"/>
      <c r="D149" s="694" t="s">
        <v>183</v>
      </c>
      <c r="E149" s="695"/>
      <c r="F149" s="14" t="s">
        <v>6</v>
      </c>
      <c r="G149" s="572">
        <v>1</v>
      </c>
      <c r="H149" s="572">
        <f t="shared" ref="H149:U149" si="43">+G149+1</f>
        <v>2</v>
      </c>
      <c r="I149" s="572">
        <f t="shared" si="43"/>
        <v>3</v>
      </c>
      <c r="J149" s="572">
        <f t="shared" si="43"/>
        <v>4</v>
      </c>
      <c r="K149" s="572">
        <f t="shared" si="43"/>
        <v>5</v>
      </c>
      <c r="L149" s="572">
        <f t="shared" si="43"/>
        <v>6</v>
      </c>
      <c r="M149" s="572">
        <f t="shared" si="43"/>
        <v>7</v>
      </c>
      <c r="N149" s="572">
        <f t="shared" si="43"/>
        <v>8</v>
      </c>
      <c r="O149" s="572">
        <f t="shared" si="43"/>
        <v>9</v>
      </c>
      <c r="P149" s="572">
        <f t="shared" si="43"/>
        <v>10</v>
      </c>
      <c r="Q149" s="572">
        <f t="shared" si="43"/>
        <v>11</v>
      </c>
      <c r="R149" s="572">
        <f t="shared" si="43"/>
        <v>12</v>
      </c>
      <c r="S149" s="572">
        <f t="shared" si="43"/>
        <v>13</v>
      </c>
      <c r="T149" s="572">
        <f t="shared" si="43"/>
        <v>14</v>
      </c>
      <c r="U149" s="573">
        <f t="shared" si="43"/>
        <v>15</v>
      </c>
    </row>
    <row r="150" spans="1:21">
      <c r="A150" s="2">
        <v>1</v>
      </c>
      <c r="D150" s="19" t="str">
        <f>"Valor por Veíc. - "&amp;VLOOKUP(A150,TIPOLOGIA!$D$10:$E$12,2,0)</f>
        <v>Valor por Veíc. - MICROÔNIBUS</v>
      </c>
      <c r="E150" s="19"/>
      <c r="F150" s="20" t="s">
        <v>212</v>
      </c>
      <c r="G150" s="275">
        <f>IFERROR(ROUND(+G44*'2. COEFICIENTES'!F$57/'1. DADOS OPERACIONAIS'!F46,4),0)</f>
        <v>0.18840000000000001</v>
      </c>
      <c r="H150" s="275">
        <f>IFERROR(ROUND(+H44*'2. COEFICIENTES'!G$57/'1. DADOS OPERACIONAIS'!G46,4),0)</f>
        <v>0.18840000000000001</v>
      </c>
      <c r="I150" s="275">
        <f>IFERROR(ROUND(+I44*'2. COEFICIENTES'!H$57/'1. DADOS OPERACIONAIS'!H46,4),0)</f>
        <v>0.18840000000000001</v>
      </c>
      <c r="J150" s="275">
        <f>IFERROR(ROUND(+J44*'2. COEFICIENTES'!I$57/'1. DADOS OPERACIONAIS'!I46,4),0)</f>
        <v>0.18840000000000001</v>
      </c>
      <c r="K150" s="275">
        <f>IFERROR(ROUND(+K44*'2. COEFICIENTES'!J$57/'1. DADOS OPERACIONAIS'!J46,4),0)</f>
        <v>0.18840000000000001</v>
      </c>
      <c r="L150" s="275">
        <f>IFERROR(ROUND(+L44*'2. COEFICIENTES'!K$57/'1. DADOS OPERACIONAIS'!K46,4),0)</f>
        <v>0.18840000000000001</v>
      </c>
      <c r="M150" s="275">
        <f>IFERROR(ROUND(+M44*'2. COEFICIENTES'!L$57/'1. DADOS OPERACIONAIS'!L46,4),0)</f>
        <v>0.18840000000000001</v>
      </c>
      <c r="N150" s="275">
        <f>IFERROR(ROUND(+N44*'2. COEFICIENTES'!M$57/'1. DADOS OPERACIONAIS'!M46,4),0)</f>
        <v>0.18840000000000001</v>
      </c>
      <c r="O150" s="275">
        <f>IFERROR(ROUND(+O44*'2. COEFICIENTES'!N$57/'1. DADOS OPERACIONAIS'!N46,4),0)</f>
        <v>0.18840000000000001</v>
      </c>
      <c r="P150" s="275">
        <f>IFERROR(ROUND(+P44*'2. COEFICIENTES'!O$57/'1. DADOS OPERACIONAIS'!O46,4),0)</f>
        <v>0.18840000000000001</v>
      </c>
      <c r="Q150" s="275">
        <f>IFERROR(ROUND(+Q44*'2. COEFICIENTES'!P$57/'1. DADOS OPERACIONAIS'!P46,4),0)</f>
        <v>0.18840000000000001</v>
      </c>
      <c r="R150" s="275">
        <f>IFERROR(ROUND(+R44*'2. COEFICIENTES'!Q$57/'1. DADOS OPERACIONAIS'!Q46,4),0)</f>
        <v>0.18840000000000001</v>
      </c>
      <c r="S150" s="275">
        <f>IFERROR(ROUND(+S44*'2. COEFICIENTES'!R$57/'1. DADOS OPERACIONAIS'!R46,4),0)</f>
        <v>0.18840000000000001</v>
      </c>
      <c r="T150" s="275">
        <f>IFERROR(ROUND(+T44*'2. COEFICIENTES'!S$57/'1. DADOS OPERACIONAIS'!S46,4),0)</f>
        <v>0.18840000000000001</v>
      </c>
      <c r="U150" s="276">
        <f>IFERROR(ROUND(+U44*'2. COEFICIENTES'!T$57/'1. DADOS OPERACIONAIS'!T46,4),0)</f>
        <v>0.18840000000000001</v>
      </c>
    </row>
    <row r="151" spans="1:21">
      <c r="A151" s="2">
        <v>2</v>
      </c>
      <c r="D151" s="17" t="str">
        <f>"Valor por Veíc. - "&amp;VLOOKUP(A151,TIPOLOGIA!$D$10:$E$12,2,0)</f>
        <v>Valor por Veíc. - CONVENCIONAL</v>
      </c>
      <c r="E151" s="19"/>
      <c r="F151" s="20" t="str">
        <f>F150</f>
        <v>(R$/km)</v>
      </c>
      <c r="G151" s="277">
        <f>IFERROR(ROUND(+G45*'2. COEFICIENTES'!F$57/'1. DADOS OPERACIONAIS'!F47,4),0)</f>
        <v>0.2366</v>
      </c>
      <c r="H151" s="279">
        <f>IFERROR(ROUND(+H45*'2. COEFICIENTES'!G$57/'1. DADOS OPERACIONAIS'!G47,4),0)</f>
        <v>0.2366</v>
      </c>
      <c r="I151" s="279">
        <f>IFERROR(ROUND(+I45*'2. COEFICIENTES'!H$57/'1. DADOS OPERACIONAIS'!H47,4),0)</f>
        <v>0.2366</v>
      </c>
      <c r="J151" s="279">
        <f>IFERROR(ROUND(+J45*'2. COEFICIENTES'!I$57/'1. DADOS OPERACIONAIS'!I47,4),0)</f>
        <v>0.2366</v>
      </c>
      <c r="K151" s="279">
        <f>IFERROR(ROUND(+K45*'2. COEFICIENTES'!J$57/'1. DADOS OPERACIONAIS'!J47,4),0)</f>
        <v>0.2366</v>
      </c>
      <c r="L151" s="279">
        <f>IFERROR(ROUND(+L45*'2. COEFICIENTES'!K$57/'1. DADOS OPERACIONAIS'!K47,4),0)</f>
        <v>0.2366</v>
      </c>
      <c r="M151" s="279">
        <f>IFERROR(ROUND(+M45*'2. COEFICIENTES'!L$57/'1. DADOS OPERACIONAIS'!L47,4),0)</f>
        <v>0.2366</v>
      </c>
      <c r="N151" s="279">
        <f>IFERROR(ROUND(+N45*'2. COEFICIENTES'!M$57/'1. DADOS OPERACIONAIS'!M47,4),0)</f>
        <v>0.2366</v>
      </c>
      <c r="O151" s="279">
        <f>IFERROR(ROUND(+O45*'2. COEFICIENTES'!N$57/'1. DADOS OPERACIONAIS'!N47,4),0)</f>
        <v>0.2366</v>
      </c>
      <c r="P151" s="279">
        <f>IFERROR(ROUND(+P45*'2. COEFICIENTES'!O$57/'1. DADOS OPERACIONAIS'!O47,4),0)</f>
        <v>0.2366</v>
      </c>
      <c r="Q151" s="279">
        <f>IFERROR(ROUND(+Q45*'2. COEFICIENTES'!P$57/'1. DADOS OPERACIONAIS'!P47,4),0)</f>
        <v>0.2366</v>
      </c>
      <c r="R151" s="279">
        <f>IFERROR(ROUND(+R45*'2. COEFICIENTES'!Q$57/'1. DADOS OPERACIONAIS'!Q47,4),0)</f>
        <v>0.2366</v>
      </c>
      <c r="S151" s="279">
        <f>IFERROR(ROUND(+S45*'2. COEFICIENTES'!R$57/'1. DADOS OPERACIONAIS'!R47,4),0)</f>
        <v>0.2366</v>
      </c>
      <c r="T151" s="279">
        <f>IFERROR(ROUND(+T45*'2. COEFICIENTES'!S$57/'1. DADOS OPERACIONAIS'!S47,4),0)</f>
        <v>0.2366</v>
      </c>
      <c r="U151" s="278">
        <f>IFERROR(ROUND(+U45*'2. COEFICIENTES'!T$57/'1. DADOS OPERACIONAIS'!T47,4),0)</f>
        <v>0.2366</v>
      </c>
    </row>
    <row r="152" spans="1:21">
      <c r="A152" s="2">
        <v>3</v>
      </c>
      <c r="D152" s="24"/>
      <c r="E152" s="19"/>
      <c r="F152" s="20" t="str">
        <f>F151</f>
        <v>(R$/km)</v>
      </c>
      <c r="G152" s="277">
        <f>IFERROR(ROUND(+G46*'2. COEFICIENTES'!F$57/'1. DADOS OPERACIONAIS'!F48,4),0)</f>
        <v>0</v>
      </c>
      <c r="H152" s="277">
        <f>IFERROR(ROUND(+H46*'2. COEFICIENTES'!G$57/'1. DADOS OPERACIONAIS'!G48,4),0)</f>
        <v>0</v>
      </c>
      <c r="I152" s="277">
        <f>IFERROR(ROUND(+I46*'2. COEFICIENTES'!H$57/'1. DADOS OPERACIONAIS'!H48,4),0)</f>
        <v>0</v>
      </c>
      <c r="J152" s="277">
        <f>IFERROR(ROUND(+J46*'2. COEFICIENTES'!I$57/'1. DADOS OPERACIONAIS'!I48,4),0)</f>
        <v>0</v>
      </c>
      <c r="K152" s="277">
        <f>IFERROR(ROUND(+K46*'2. COEFICIENTES'!J$57/'1. DADOS OPERACIONAIS'!J48,4),0)</f>
        <v>0</v>
      </c>
      <c r="L152" s="277">
        <f>IFERROR(ROUND(+L46*'2. COEFICIENTES'!K$57/'1. DADOS OPERACIONAIS'!K48,4),0)</f>
        <v>0</v>
      </c>
      <c r="M152" s="277">
        <f>IFERROR(ROUND(+M46*'2. COEFICIENTES'!L$57/'1. DADOS OPERACIONAIS'!L48,4),0)</f>
        <v>0</v>
      </c>
      <c r="N152" s="277">
        <f>IFERROR(ROUND(+N46*'2. COEFICIENTES'!M$57/'1. DADOS OPERACIONAIS'!M48,4),0)</f>
        <v>0</v>
      </c>
      <c r="O152" s="277">
        <f>IFERROR(ROUND(+O46*'2. COEFICIENTES'!N$57/'1. DADOS OPERACIONAIS'!N48,4),0)</f>
        <v>0</v>
      </c>
      <c r="P152" s="277">
        <f>IFERROR(ROUND(+P46*'2. COEFICIENTES'!O$57/'1. DADOS OPERACIONAIS'!O48,4),0)</f>
        <v>0</v>
      </c>
      <c r="Q152" s="277">
        <f>IFERROR(ROUND(+Q46*'2. COEFICIENTES'!P$57/'1. DADOS OPERACIONAIS'!P48,4),0)</f>
        <v>0</v>
      </c>
      <c r="R152" s="277">
        <f>IFERROR(ROUND(+R46*'2. COEFICIENTES'!Q$57/'1. DADOS OPERACIONAIS'!Q48,4),0)</f>
        <v>0</v>
      </c>
      <c r="S152" s="277">
        <f>IFERROR(ROUND(+S46*'2. COEFICIENTES'!R$57/'1. DADOS OPERACIONAIS'!R48,4),0)</f>
        <v>0</v>
      </c>
      <c r="T152" s="277">
        <f>IFERROR(ROUND(+T46*'2. COEFICIENTES'!S$57/'1. DADOS OPERACIONAIS'!S48,4),0)</f>
        <v>0</v>
      </c>
      <c r="U152" s="278">
        <f>IFERROR(ROUND(+U46*'2. COEFICIENTES'!T$57/'1. DADOS OPERACIONAIS'!T48,4),0)</f>
        <v>0</v>
      </c>
    </row>
    <row r="155" spans="1:21" ht="15.75">
      <c r="C155" s="381" t="str">
        <f>+MENU!$C$55</f>
        <v>3.6. - SEGUROS</v>
      </c>
      <c r="G155" s="639"/>
    </row>
    <row r="157" spans="1:21" ht="15.75">
      <c r="C157" s="381" t="str">
        <f>+MENU!$C$56</f>
        <v>3.6.1. - SEGURO OBRIGATÓRIO + LICENCIAMENTO</v>
      </c>
    </row>
    <row r="158" spans="1:21">
      <c r="C158" s="4"/>
    </row>
    <row r="159" spans="1:21" ht="18" customHeight="1">
      <c r="C159" s="694" t="s">
        <v>156</v>
      </c>
      <c r="D159" s="694"/>
      <c r="E159" s="695"/>
      <c r="F159" s="14" t="s">
        <v>6</v>
      </c>
      <c r="G159" s="572">
        <v>1</v>
      </c>
      <c r="H159" s="572">
        <f t="shared" ref="H159:U159" si="44">+G159+1</f>
        <v>2</v>
      </c>
      <c r="I159" s="572">
        <f t="shared" si="44"/>
        <v>3</v>
      </c>
      <c r="J159" s="572">
        <f t="shared" si="44"/>
        <v>4</v>
      </c>
      <c r="K159" s="572">
        <f t="shared" si="44"/>
        <v>5</v>
      </c>
      <c r="L159" s="572">
        <f t="shared" si="44"/>
        <v>6</v>
      </c>
      <c r="M159" s="572">
        <f t="shared" si="44"/>
        <v>7</v>
      </c>
      <c r="N159" s="572">
        <f t="shared" si="44"/>
        <v>8</v>
      </c>
      <c r="O159" s="572">
        <f t="shared" si="44"/>
        <v>9</v>
      </c>
      <c r="P159" s="572">
        <f t="shared" si="44"/>
        <v>10</v>
      </c>
      <c r="Q159" s="572">
        <f t="shared" si="44"/>
        <v>11</v>
      </c>
      <c r="R159" s="572">
        <f t="shared" si="44"/>
        <v>12</v>
      </c>
      <c r="S159" s="572">
        <f t="shared" si="44"/>
        <v>13</v>
      </c>
      <c r="T159" s="572">
        <f t="shared" si="44"/>
        <v>14</v>
      </c>
      <c r="U159" s="573">
        <f t="shared" si="44"/>
        <v>15</v>
      </c>
    </row>
    <row r="160" spans="1:21">
      <c r="A160" s="2">
        <v>1</v>
      </c>
      <c r="D160" s="19" t="str">
        <f>"Preço de 1 Veíc. "&amp;VLOOKUP(A160,TIPOLOGIA!$D$10:$E$12,2,0)</f>
        <v>Preço de 1 Veíc. MICROÔNIBUS</v>
      </c>
      <c r="E160" s="19"/>
      <c r="F160" s="20" t="s">
        <v>32</v>
      </c>
      <c r="G160" s="619">
        <f>10.57+94</f>
        <v>104.57</v>
      </c>
      <c r="H160" s="51">
        <f t="shared" ref="H160:U160" si="45">G160</f>
        <v>104.57</v>
      </c>
      <c r="I160" s="51">
        <f t="shared" si="45"/>
        <v>104.57</v>
      </c>
      <c r="J160" s="51">
        <f t="shared" si="45"/>
        <v>104.57</v>
      </c>
      <c r="K160" s="51">
        <f t="shared" si="45"/>
        <v>104.57</v>
      </c>
      <c r="L160" s="51">
        <f t="shared" si="45"/>
        <v>104.57</v>
      </c>
      <c r="M160" s="51">
        <f t="shared" si="45"/>
        <v>104.57</v>
      </c>
      <c r="N160" s="51">
        <f t="shared" si="45"/>
        <v>104.57</v>
      </c>
      <c r="O160" s="51">
        <f t="shared" si="45"/>
        <v>104.57</v>
      </c>
      <c r="P160" s="51">
        <f t="shared" si="45"/>
        <v>104.57</v>
      </c>
      <c r="Q160" s="51">
        <f t="shared" si="45"/>
        <v>104.57</v>
      </c>
      <c r="R160" s="51">
        <f t="shared" si="45"/>
        <v>104.57</v>
      </c>
      <c r="S160" s="51">
        <f t="shared" si="45"/>
        <v>104.57</v>
      </c>
      <c r="T160" s="51">
        <f t="shared" si="45"/>
        <v>104.57</v>
      </c>
      <c r="U160" s="64">
        <f t="shared" si="45"/>
        <v>104.57</v>
      </c>
    </row>
    <row r="161" spans="1:21">
      <c r="A161" s="2">
        <v>2</v>
      </c>
      <c r="D161" s="17" t="str">
        <f>"Preço de 1 Veíc. "&amp;VLOOKUP(A161,TIPOLOGIA!$D$10:$E$12,2,0)</f>
        <v>Preço de 1 Veíc. CONVENCIONAL</v>
      </c>
      <c r="E161" s="17"/>
      <c r="F161" s="18" t="str">
        <f>+F160</f>
        <v>(R$/Veíc./ano)</v>
      </c>
      <c r="G161" s="620">
        <f>+G160</f>
        <v>104.57</v>
      </c>
      <c r="H161" s="51">
        <f t="shared" ref="H161:U161" si="46">G161</f>
        <v>104.57</v>
      </c>
      <c r="I161" s="51">
        <f t="shared" si="46"/>
        <v>104.57</v>
      </c>
      <c r="J161" s="51">
        <f t="shared" si="46"/>
        <v>104.57</v>
      </c>
      <c r="K161" s="51">
        <f t="shared" si="46"/>
        <v>104.57</v>
      </c>
      <c r="L161" s="51">
        <f t="shared" si="46"/>
        <v>104.57</v>
      </c>
      <c r="M161" s="51">
        <f t="shared" si="46"/>
        <v>104.57</v>
      </c>
      <c r="N161" s="51">
        <f t="shared" si="46"/>
        <v>104.57</v>
      </c>
      <c r="O161" s="51">
        <f t="shared" si="46"/>
        <v>104.57</v>
      </c>
      <c r="P161" s="51">
        <f t="shared" si="46"/>
        <v>104.57</v>
      </c>
      <c r="Q161" s="51">
        <f t="shared" si="46"/>
        <v>104.57</v>
      </c>
      <c r="R161" s="51">
        <f t="shared" si="46"/>
        <v>104.57</v>
      </c>
      <c r="S161" s="51">
        <f t="shared" si="46"/>
        <v>104.57</v>
      </c>
      <c r="T161" s="51">
        <f t="shared" si="46"/>
        <v>104.57</v>
      </c>
      <c r="U161" s="52">
        <f t="shared" si="46"/>
        <v>104.57</v>
      </c>
    </row>
    <row r="162" spans="1:21">
      <c r="A162" s="2">
        <v>3</v>
      </c>
      <c r="D162" s="24"/>
      <c r="E162" s="24"/>
      <c r="F162" s="25" t="str">
        <f>+F161</f>
        <v>(R$/Veíc./ano)</v>
      </c>
      <c r="G162" s="621">
        <v>0</v>
      </c>
      <c r="H162" s="51">
        <f t="shared" ref="H162:U162" si="47">G162</f>
        <v>0</v>
      </c>
      <c r="I162" s="51">
        <f t="shared" si="47"/>
        <v>0</v>
      </c>
      <c r="J162" s="51">
        <f t="shared" si="47"/>
        <v>0</v>
      </c>
      <c r="K162" s="51">
        <f t="shared" si="47"/>
        <v>0</v>
      </c>
      <c r="L162" s="51">
        <f t="shared" si="47"/>
        <v>0</v>
      </c>
      <c r="M162" s="51">
        <f t="shared" si="47"/>
        <v>0</v>
      </c>
      <c r="N162" s="51">
        <f t="shared" si="47"/>
        <v>0</v>
      </c>
      <c r="O162" s="51">
        <f t="shared" si="47"/>
        <v>0</v>
      </c>
      <c r="P162" s="51">
        <f t="shared" si="47"/>
        <v>0</v>
      </c>
      <c r="Q162" s="51">
        <f t="shared" si="47"/>
        <v>0</v>
      </c>
      <c r="R162" s="51">
        <f t="shared" si="47"/>
        <v>0</v>
      </c>
      <c r="S162" s="51">
        <f t="shared" si="47"/>
        <v>0</v>
      </c>
      <c r="T162" s="51">
        <f t="shared" si="47"/>
        <v>0</v>
      </c>
      <c r="U162" s="52">
        <f t="shared" si="47"/>
        <v>0</v>
      </c>
    </row>
    <row r="163" spans="1:21">
      <c r="D163" s="1"/>
      <c r="E163" s="1"/>
      <c r="F163" s="36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</row>
    <row r="164" spans="1:21">
      <c r="D164" s="1"/>
      <c r="E164" s="1"/>
      <c r="F164" s="36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</row>
    <row r="165" spans="1:21" ht="15.75">
      <c r="C165" s="381" t="str">
        <f>+MENU!$C$57</f>
        <v>3.6.2. - SEGURO DE RESPONSABILIDADE CIVIL</v>
      </c>
    </row>
    <row r="166" spans="1:21">
      <c r="C166" s="4"/>
    </row>
    <row r="167" spans="1:21" ht="18" customHeight="1">
      <c r="C167" s="694" t="s">
        <v>309</v>
      </c>
      <c r="D167" s="694"/>
      <c r="E167" s="695"/>
      <c r="F167" s="14" t="s">
        <v>6</v>
      </c>
      <c r="G167" s="572">
        <v>1</v>
      </c>
      <c r="H167" s="572">
        <f t="shared" ref="H167:U167" si="48">+G167+1</f>
        <v>2</v>
      </c>
      <c r="I167" s="572">
        <f t="shared" si="48"/>
        <v>3</v>
      </c>
      <c r="J167" s="572">
        <f t="shared" si="48"/>
        <v>4</v>
      </c>
      <c r="K167" s="572">
        <f t="shared" si="48"/>
        <v>5</v>
      </c>
      <c r="L167" s="572">
        <f t="shared" si="48"/>
        <v>6</v>
      </c>
      <c r="M167" s="572">
        <f t="shared" si="48"/>
        <v>7</v>
      </c>
      <c r="N167" s="572">
        <f t="shared" si="48"/>
        <v>8</v>
      </c>
      <c r="O167" s="572">
        <f t="shared" si="48"/>
        <v>9</v>
      </c>
      <c r="P167" s="572">
        <f t="shared" si="48"/>
        <v>10</v>
      </c>
      <c r="Q167" s="572">
        <f t="shared" si="48"/>
        <v>11</v>
      </c>
      <c r="R167" s="572">
        <f t="shared" si="48"/>
        <v>12</v>
      </c>
      <c r="S167" s="572">
        <f t="shared" si="48"/>
        <v>13</v>
      </c>
      <c r="T167" s="572">
        <f t="shared" si="48"/>
        <v>14</v>
      </c>
      <c r="U167" s="573">
        <f t="shared" si="48"/>
        <v>15</v>
      </c>
    </row>
    <row r="168" spans="1:21">
      <c r="A168" s="2">
        <v>1</v>
      </c>
      <c r="D168" s="19" t="str">
        <f>"Preço de 1 Veíc. "&amp;VLOOKUP(A168,TIPOLOGIA!$D$10:$E$12,2,0)</f>
        <v>Preço de 1 Veíc. MICROÔNIBUS</v>
      </c>
      <c r="E168" s="19"/>
      <c r="F168" s="20" t="s">
        <v>32</v>
      </c>
      <c r="G168" s="619">
        <v>850.08</v>
      </c>
      <c r="H168" s="51">
        <f t="shared" ref="H168:U168" si="49">G168</f>
        <v>850.08</v>
      </c>
      <c r="I168" s="51">
        <f t="shared" si="49"/>
        <v>850.08</v>
      </c>
      <c r="J168" s="51">
        <f t="shared" si="49"/>
        <v>850.08</v>
      </c>
      <c r="K168" s="51">
        <f t="shared" si="49"/>
        <v>850.08</v>
      </c>
      <c r="L168" s="51">
        <f t="shared" si="49"/>
        <v>850.08</v>
      </c>
      <c r="M168" s="51">
        <f t="shared" si="49"/>
        <v>850.08</v>
      </c>
      <c r="N168" s="51">
        <f t="shared" si="49"/>
        <v>850.08</v>
      </c>
      <c r="O168" s="51">
        <f t="shared" si="49"/>
        <v>850.08</v>
      </c>
      <c r="P168" s="51">
        <f t="shared" si="49"/>
        <v>850.08</v>
      </c>
      <c r="Q168" s="51">
        <f t="shared" si="49"/>
        <v>850.08</v>
      </c>
      <c r="R168" s="51">
        <f t="shared" si="49"/>
        <v>850.08</v>
      </c>
      <c r="S168" s="51">
        <f t="shared" si="49"/>
        <v>850.08</v>
      </c>
      <c r="T168" s="51">
        <f t="shared" si="49"/>
        <v>850.08</v>
      </c>
      <c r="U168" s="64">
        <f t="shared" si="49"/>
        <v>850.08</v>
      </c>
    </row>
    <row r="169" spans="1:21">
      <c r="A169" s="2">
        <v>2</v>
      </c>
      <c r="D169" s="17" t="str">
        <f>"Preço de 1 Veíc. "&amp;VLOOKUP(A169,TIPOLOGIA!$D$10:$E$12,2,0)</f>
        <v>Preço de 1 Veíc. CONVENCIONAL</v>
      </c>
      <c r="E169" s="17"/>
      <c r="F169" s="18" t="str">
        <f>+F168</f>
        <v>(R$/Veíc./ano)</v>
      </c>
      <c r="G169" s="620">
        <v>850.08</v>
      </c>
      <c r="H169" s="51">
        <f t="shared" ref="H169:U169" si="50">G169</f>
        <v>850.08</v>
      </c>
      <c r="I169" s="51">
        <f t="shared" si="50"/>
        <v>850.08</v>
      </c>
      <c r="J169" s="51">
        <f t="shared" si="50"/>
        <v>850.08</v>
      </c>
      <c r="K169" s="51">
        <f t="shared" si="50"/>
        <v>850.08</v>
      </c>
      <c r="L169" s="51">
        <f t="shared" si="50"/>
        <v>850.08</v>
      </c>
      <c r="M169" s="51">
        <f t="shared" si="50"/>
        <v>850.08</v>
      </c>
      <c r="N169" s="51">
        <f t="shared" si="50"/>
        <v>850.08</v>
      </c>
      <c r="O169" s="51">
        <f t="shared" si="50"/>
        <v>850.08</v>
      </c>
      <c r="P169" s="51">
        <f t="shared" si="50"/>
        <v>850.08</v>
      </c>
      <c r="Q169" s="51">
        <f t="shared" si="50"/>
        <v>850.08</v>
      </c>
      <c r="R169" s="51">
        <f t="shared" si="50"/>
        <v>850.08</v>
      </c>
      <c r="S169" s="51">
        <f t="shared" si="50"/>
        <v>850.08</v>
      </c>
      <c r="T169" s="51">
        <f t="shared" si="50"/>
        <v>850.08</v>
      </c>
      <c r="U169" s="52">
        <f t="shared" si="50"/>
        <v>850.08</v>
      </c>
    </row>
    <row r="170" spans="1:21">
      <c r="A170" s="2">
        <v>3</v>
      </c>
      <c r="D170" s="24"/>
      <c r="E170" s="24"/>
      <c r="F170" s="25" t="str">
        <f>+F169</f>
        <v>(R$/Veíc./ano)</v>
      </c>
      <c r="G170" s="621">
        <v>0</v>
      </c>
      <c r="H170" s="51">
        <f t="shared" ref="H170:U170" si="51">G170</f>
        <v>0</v>
      </c>
      <c r="I170" s="51">
        <f t="shared" si="51"/>
        <v>0</v>
      </c>
      <c r="J170" s="51">
        <f t="shared" si="51"/>
        <v>0</v>
      </c>
      <c r="K170" s="51">
        <f t="shared" si="51"/>
        <v>0</v>
      </c>
      <c r="L170" s="51">
        <f t="shared" si="51"/>
        <v>0</v>
      </c>
      <c r="M170" s="51">
        <f t="shared" si="51"/>
        <v>0</v>
      </c>
      <c r="N170" s="51">
        <f t="shared" si="51"/>
        <v>0</v>
      </c>
      <c r="O170" s="51">
        <f t="shared" si="51"/>
        <v>0</v>
      </c>
      <c r="P170" s="51">
        <f t="shared" si="51"/>
        <v>0</v>
      </c>
      <c r="Q170" s="51">
        <f t="shared" si="51"/>
        <v>0</v>
      </c>
      <c r="R170" s="51">
        <f t="shared" si="51"/>
        <v>0</v>
      </c>
      <c r="S170" s="51">
        <f t="shared" si="51"/>
        <v>0</v>
      </c>
      <c r="T170" s="51">
        <f t="shared" si="51"/>
        <v>0</v>
      </c>
      <c r="U170" s="52">
        <f t="shared" si="51"/>
        <v>0</v>
      </c>
    </row>
    <row r="171" spans="1:21">
      <c r="D171" s="1"/>
      <c r="E171" s="1"/>
      <c r="F171" s="36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</row>
    <row r="172" spans="1:21">
      <c r="D172" s="1"/>
      <c r="E172" s="1"/>
      <c r="F172" s="36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  <c r="S172" s="65"/>
      <c r="T172" s="65"/>
      <c r="U172" s="65"/>
    </row>
    <row r="173" spans="1:21" ht="15.75">
      <c r="C173" s="381" t="str">
        <f>+MENU!$C$58</f>
        <v>3.7. - SALÁRIOS E BENEFÍCIOS</v>
      </c>
    </row>
    <row r="174" spans="1:21">
      <c r="F174" s="2"/>
    </row>
    <row r="175" spans="1:21" ht="15.75">
      <c r="C175" s="381" t="str">
        <f>+MENU!$C$59</f>
        <v>3.7.1. - SALÁRIOS BASE</v>
      </c>
      <c r="F175" s="2"/>
    </row>
    <row r="176" spans="1:21">
      <c r="C176" s="4"/>
      <c r="F176" s="2"/>
    </row>
    <row r="177" spans="1:21" ht="18" customHeight="1">
      <c r="C177" s="694" t="s">
        <v>31</v>
      </c>
      <c r="D177" s="694"/>
      <c r="E177" s="695"/>
      <c r="F177" s="14" t="s">
        <v>6</v>
      </c>
      <c r="G177" s="572">
        <v>1</v>
      </c>
      <c r="H177" s="572">
        <f t="shared" ref="H177:U177" si="52">+G177+1</f>
        <v>2</v>
      </c>
      <c r="I177" s="572">
        <f t="shared" si="52"/>
        <v>3</v>
      </c>
      <c r="J177" s="572">
        <f t="shared" si="52"/>
        <v>4</v>
      </c>
      <c r="K177" s="572">
        <f t="shared" si="52"/>
        <v>5</v>
      </c>
      <c r="L177" s="572">
        <f t="shared" si="52"/>
        <v>6</v>
      </c>
      <c r="M177" s="572">
        <f t="shared" si="52"/>
        <v>7</v>
      </c>
      <c r="N177" s="572">
        <f t="shared" si="52"/>
        <v>8</v>
      </c>
      <c r="O177" s="572">
        <f t="shared" si="52"/>
        <v>9</v>
      </c>
      <c r="P177" s="572">
        <f t="shared" si="52"/>
        <v>10</v>
      </c>
      <c r="Q177" s="572">
        <f t="shared" si="52"/>
        <v>11</v>
      </c>
      <c r="R177" s="572">
        <f t="shared" si="52"/>
        <v>12</v>
      </c>
      <c r="S177" s="572">
        <f t="shared" si="52"/>
        <v>13</v>
      </c>
      <c r="T177" s="572">
        <f t="shared" si="52"/>
        <v>14</v>
      </c>
      <c r="U177" s="573">
        <f t="shared" si="52"/>
        <v>15</v>
      </c>
    </row>
    <row r="178" spans="1:21">
      <c r="A178" s="2">
        <v>1</v>
      </c>
      <c r="D178" s="238" t="s">
        <v>469</v>
      </c>
      <c r="E178" s="239"/>
      <c r="F178" s="20" t="s">
        <v>40</v>
      </c>
      <c r="G178" s="619">
        <v>1919.66</v>
      </c>
      <c r="H178" s="51">
        <f>G178</f>
        <v>1919.66</v>
      </c>
      <c r="I178" s="51">
        <f t="shared" ref="I178:T178" si="53">H178</f>
        <v>1919.66</v>
      </c>
      <c r="J178" s="51">
        <f t="shared" si="53"/>
        <v>1919.66</v>
      </c>
      <c r="K178" s="51">
        <f t="shared" si="53"/>
        <v>1919.66</v>
      </c>
      <c r="L178" s="51">
        <f t="shared" si="53"/>
        <v>1919.66</v>
      </c>
      <c r="M178" s="51">
        <f t="shared" si="53"/>
        <v>1919.66</v>
      </c>
      <c r="N178" s="51">
        <f t="shared" si="53"/>
        <v>1919.66</v>
      </c>
      <c r="O178" s="51">
        <f t="shared" si="53"/>
        <v>1919.66</v>
      </c>
      <c r="P178" s="51">
        <f t="shared" si="53"/>
        <v>1919.66</v>
      </c>
      <c r="Q178" s="51">
        <f t="shared" si="53"/>
        <v>1919.66</v>
      </c>
      <c r="R178" s="51">
        <f t="shared" si="53"/>
        <v>1919.66</v>
      </c>
      <c r="S178" s="51">
        <f t="shared" si="53"/>
        <v>1919.66</v>
      </c>
      <c r="T178" s="51">
        <f t="shared" si="53"/>
        <v>1919.66</v>
      </c>
      <c r="U178" s="64">
        <f>T178</f>
        <v>1919.66</v>
      </c>
    </row>
    <row r="179" spans="1:21">
      <c r="A179" s="2">
        <v>2</v>
      </c>
      <c r="D179" s="217" t="s">
        <v>470</v>
      </c>
      <c r="E179" s="17"/>
      <c r="F179" s="18" t="str">
        <f>+F178</f>
        <v>(R$/Func./Mês)</v>
      </c>
      <c r="G179" s="620">
        <v>2204.9899999999998</v>
      </c>
      <c r="H179" s="51">
        <f>+G179</f>
        <v>2204.9899999999998</v>
      </c>
      <c r="I179" s="51">
        <f t="shared" ref="I179:T179" si="54">+H179</f>
        <v>2204.9899999999998</v>
      </c>
      <c r="J179" s="51">
        <f t="shared" si="54"/>
        <v>2204.9899999999998</v>
      </c>
      <c r="K179" s="51">
        <f t="shared" si="54"/>
        <v>2204.9899999999998</v>
      </c>
      <c r="L179" s="51">
        <f t="shared" si="54"/>
        <v>2204.9899999999998</v>
      </c>
      <c r="M179" s="51">
        <f t="shared" si="54"/>
        <v>2204.9899999999998</v>
      </c>
      <c r="N179" s="51">
        <f t="shared" si="54"/>
        <v>2204.9899999999998</v>
      </c>
      <c r="O179" s="51">
        <f t="shared" si="54"/>
        <v>2204.9899999999998</v>
      </c>
      <c r="P179" s="51">
        <f t="shared" si="54"/>
        <v>2204.9899999999998</v>
      </c>
      <c r="Q179" s="51">
        <f t="shared" si="54"/>
        <v>2204.9899999999998</v>
      </c>
      <c r="R179" s="51">
        <f t="shared" si="54"/>
        <v>2204.9899999999998</v>
      </c>
      <c r="S179" s="51">
        <f t="shared" si="54"/>
        <v>2204.9899999999998</v>
      </c>
      <c r="T179" s="51">
        <f t="shared" si="54"/>
        <v>2204.9899999999998</v>
      </c>
      <c r="U179" s="52">
        <f>T179</f>
        <v>2204.9899999999998</v>
      </c>
    </row>
    <row r="180" spans="1:21">
      <c r="A180" s="2">
        <v>3</v>
      </c>
      <c r="D180" s="202" t="s">
        <v>471</v>
      </c>
      <c r="E180" s="24"/>
      <c r="F180" s="25" t="str">
        <f>+F179</f>
        <v>(R$/Func./Mês)</v>
      </c>
      <c r="G180" s="621">
        <v>1200.56</v>
      </c>
      <c r="H180" s="51">
        <f>+G180</f>
        <v>1200.56</v>
      </c>
      <c r="I180" s="51">
        <f t="shared" ref="I180:T180" si="55">+H180</f>
        <v>1200.56</v>
      </c>
      <c r="J180" s="51">
        <f t="shared" si="55"/>
        <v>1200.56</v>
      </c>
      <c r="K180" s="51">
        <f t="shared" si="55"/>
        <v>1200.56</v>
      </c>
      <c r="L180" s="51">
        <f t="shared" si="55"/>
        <v>1200.56</v>
      </c>
      <c r="M180" s="51">
        <f t="shared" si="55"/>
        <v>1200.56</v>
      </c>
      <c r="N180" s="51">
        <f t="shared" si="55"/>
        <v>1200.56</v>
      </c>
      <c r="O180" s="51">
        <f t="shared" si="55"/>
        <v>1200.56</v>
      </c>
      <c r="P180" s="51">
        <f t="shared" si="55"/>
        <v>1200.56</v>
      </c>
      <c r="Q180" s="51">
        <f t="shared" si="55"/>
        <v>1200.56</v>
      </c>
      <c r="R180" s="51">
        <f t="shared" si="55"/>
        <v>1200.56</v>
      </c>
      <c r="S180" s="51">
        <f t="shared" si="55"/>
        <v>1200.56</v>
      </c>
      <c r="T180" s="51">
        <f t="shared" si="55"/>
        <v>1200.56</v>
      </c>
      <c r="U180" s="52">
        <f>T180</f>
        <v>1200.56</v>
      </c>
    </row>
    <row r="182" spans="1:21" ht="15.75">
      <c r="C182" s="381" t="str">
        <f>+MENU!$C$60</f>
        <v>3.7.2. - BENEFÍCIOS</v>
      </c>
    </row>
    <row r="183" spans="1:21">
      <c r="C183" s="4"/>
    </row>
    <row r="184" spans="1:21" ht="18" customHeight="1">
      <c r="C184" s="694" t="s">
        <v>33</v>
      </c>
      <c r="D184" s="694"/>
      <c r="E184" s="695"/>
      <c r="F184" s="14" t="s">
        <v>6</v>
      </c>
      <c r="G184" s="572">
        <v>1</v>
      </c>
      <c r="H184" s="572">
        <f t="shared" ref="H184:U184" si="56">+G184+1</f>
        <v>2</v>
      </c>
      <c r="I184" s="572">
        <f t="shared" si="56"/>
        <v>3</v>
      </c>
      <c r="J184" s="572">
        <f t="shared" si="56"/>
        <v>4</v>
      </c>
      <c r="K184" s="572">
        <f t="shared" si="56"/>
        <v>5</v>
      </c>
      <c r="L184" s="572">
        <f t="shared" si="56"/>
        <v>6</v>
      </c>
      <c r="M184" s="572">
        <f t="shared" si="56"/>
        <v>7</v>
      </c>
      <c r="N184" s="572">
        <f t="shared" si="56"/>
        <v>8</v>
      </c>
      <c r="O184" s="572">
        <f t="shared" si="56"/>
        <v>9</v>
      </c>
      <c r="P184" s="572">
        <f t="shared" si="56"/>
        <v>10</v>
      </c>
      <c r="Q184" s="572">
        <f t="shared" si="56"/>
        <v>11</v>
      </c>
      <c r="R184" s="572">
        <f t="shared" si="56"/>
        <v>12</v>
      </c>
      <c r="S184" s="572">
        <f t="shared" si="56"/>
        <v>13</v>
      </c>
      <c r="T184" s="572">
        <f t="shared" si="56"/>
        <v>14</v>
      </c>
      <c r="U184" s="573">
        <f t="shared" si="56"/>
        <v>15</v>
      </c>
    </row>
    <row r="185" spans="1:21">
      <c r="A185" s="2">
        <v>1</v>
      </c>
      <c r="D185" s="238" t="s">
        <v>34</v>
      </c>
      <c r="E185" s="239"/>
      <c r="F185" s="20" t="s">
        <v>40</v>
      </c>
      <c r="G185" s="619">
        <v>150.09</v>
      </c>
      <c r="H185" s="51">
        <f t="shared" ref="H185:T185" si="57">+G185</f>
        <v>150.09</v>
      </c>
      <c r="I185" s="51">
        <f t="shared" si="57"/>
        <v>150.09</v>
      </c>
      <c r="J185" s="51">
        <f t="shared" si="57"/>
        <v>150.09</v>
      </c>
      <c r="K185" s="51">
        <f t="shared" si="57"/>
        <v>150.09</v>
      </c>
      <c r="L185" s="51">
        <f t="shared" si="57"/>
        <v>150.09</v>
      </c>
      <c r="M185" s="51">
        <f t="shared" si="57"/>
        <v>150.09</v>
      </c>
      <c r="N185" s="51">
        <f t="shared" si="57"/>
        <v>150.09</v>
      </c>
      <c r="O185" s="51">
        <f t="shared" si="57"/>
        <v>150.09</v>
      </c>
      <c r="P185" s="51">
        <f t="shared" si="57"/>
        <v>150.09</v>
      </c>
      <c r="Q185" s="51">
        <f t="shared" si="57"/>
        <v>150.09</v>
      </c>
      <c r="R185" s="51">
        <f t="shared" si="57"/>
        <v>150.09</v>
      </c>
      <c r="S185" s="51">
        <f t="shared" si="57"/>
        <v>150.09</v>
      </c>
      <c r="T185" s="51">
        <f t="shared" si="57"/>
        <v>150.09</v>
      </c>
      <c r="U185" s="64">
        <f>T185</f>
        <v>150.09</v>
      </c>
    </row>
    <row r="186" spans="1:21">
      <c r="A186" s="2">
        <v>2</v>
      </c>
      <c r="D186" s="217" t="s">
        <v>35</v>
      </c>
      <c r="E186" s="17"/>
      <c r="F186" s="18" t="s">
        <v>402</v>
      </c>
      <c r="G186" s="620">
        <f>203.49/25</f>
        <v>8.1395999999999997</v>
      </c>
      <c r="H186" s="51">
        <f t="shared" ref="H186:T186" si="58">+G186</f>
        <v>8.1395999999999997</v>
      </c>
      <c r="I186" s="51">
        <f t="shared" si="58"/>
        <v>8.1395999999999997</v>
      </c>
      <c r="J186" s="51">
        <f t="shared" si="58"/>
        <v>8.1395999999999997</v>
      </c>
      <c r="K186" s="51">
        <f t="shared" si="58"/>
        <v>8.1395999999999997</v>
      </c>
      <c r="L186" s="51">
        <f t="shared" si="58"/>
        <v>8.1395999999999997</v>
      </c>
      <c r="M186" s="51">
        <f t="shared" si="58"/>
        <v>8.1395999999999997</v>
      </c>
      <c r="N186" s="51">
        <f t="shared" si="58"/>
        <v>8.1395999999999997</v>
      </c>
      <c r="O186" s="51">
        <f t="shared" si="58"/>
        <v>8.1395999999999997</v>
      </c>
      <c r="P186" s="51">
        <f t="shared" si="58"/>
        <v>8.1395999999999997</v>
      </c>
      <c r="Q186" s="51">
        <f t="shared" si="58"/>
        <v>8.1395999999999997</v>
      </c>
      <c r="R186" s="51">
        <f t="shared" si="58"/>
        <v>8.1395999999999997</v>
      </c>
      <c r="S186" s="51">
        <f t="shared" si="58"/>
        <v>8.1395999999999997</v>
      </c>
      <c r="T186" s="51">
        <f t="shared" si="58"/>
        <v>8.1395999999999997</v>
      </c>
      <c r="U186" s="52">
        <f>T186</f>
        <v>8.1395999999999997</v>
      </c>
    </row>
    <row r="187" spans="1:21">
      <c r="A187" s="2">
        <v>3</v>
      </c>
      <c r="D187" s="202" t="s">
        <v>36</v>
      </c>
      <c r="E187" s="24"/>
      <c r="F187" s="25" t="str">
        <f>+F185</f>
        <v>(R$/Func./Mês)</v>
      </c>
      <c r="G187" s="621">
        <v>0</v>
      </c>
      <c r="H187" s="51">
        <f t="shared" ref="H187:T187" si="59">+G187</f>
        <v>0</v>
      </c>
      <c r="I187" s="51">
        <f t="shared" si="59"/>
        <v>0</v>
      </c>
      <c r="J187" s="51">
        <f t="shared" si="59"/>
        <v>0</v>
      </c>
      <c r="K187" s="51">
        <f t="shared" si="59"/>
        <v>0</v>
      </c>
      <c r="L187" s="51">
        <f t="shared" si="59"/>
        <v>0</v>
      </c>
      <c r="M187" s="51">
        <f t="shared" si="59"/>
        <v>0</v>
      </c>
      <c r="N187" s="51">
        <f t="shared" si="59"/>
        <v>0</v>
      </c>
      <c r="O187" s="51">
        <f t="shared" si="59"/>
        <v>0</v>
      </c>
      <c r="P187" s="51">
        <f t="shared" si="59"/>
        <v>0</v>
      </c>
      <c r="Q187" s="51">
        <f t="shared" si="59"/>
        <v>0</v>
      </c>
      <c r="R187" s="51">
        <f t="shared" si="59"/>
        <v>0</v>
      </c>
      <c r="S187" s="51">
        <f t="shared" si="59"/>
        <v>0</v>
      </c>
      <c r="T187" s="51">
        <f t="shared" si="59"/>
        <v>0</v>
      </c>
      <c r="U187" s="52">
        <f>T187</f>
        <v>0</v>
      </c>
    </row>
    <row r="188" spans="1:21">
      <c r="A188" s="2">
        <v>3</v>
      </c>
      <c r="D188" s="202" t="s">
        <v>37</v>
      </c>
      <c r="E188" s="24"/>
      <c r="F188" s="25" t="str">
        <f>+F187</f>
        <v>(R$/Func./Mês)</v>
      </c>
      <c r="G188" s="621">
        <v>0</v>
      </c>
      <c r="H188" s="51">
        <f t="shared" ref="H188:T188" si="60">+G188</f>
        <v>0</v>
      </c>
      <c r="I188" s="51">
        <f t="shared" si="60"/>
        <v>0</v>
      </c>
      <c r="J188" s="51">
        <f t="shared" si="60"/>
        <v>0</v>
      </c>
      <c r="K188" s="51">
        <f t="shared" si="60"/>
        <v>0</v>
      </c>
      <c r="L188" s="51">
        <f t="shared" si="60"/>
        <v>0</v>
      </c>
      <c r="M188" s="51">
        <f t="shared" si="60"/>
        <v>0</v>
      </c>
      <c r="N188" s="51">
        <f t="shared" si="60"/>
        <v>0</v>
      </c>
      <c r="O188" s="51">
        <f t="shared" si="60"/>
        <v>0</v>
      </c>
      <c r="P188" s="51">
        <f t="shared" si="60"/>
        <v>0</v>
      </c>
      <c r="Q188" s="51">
        <f t="shared" si="60"/>
        <v>0</v>
      </c>
      <c r="R188" s="51">
        <f t="shared" si="60"/>
        <v>0</v>
      </c>
      <c r="S188" s="51">
        <f t="shared" si="60"/>
        <v>0</v>
      </c>
      <c r="T188" s="51">
        <f t="shared" si="60"/>
        <v>0</v>
      </c>
      <c r="U188" s="52">
        <f>T188</f>
        <v>0</v>
      </c>
    </row>
    <row r="189" spans="1:21">
      <c r="A189" s="2">
        <v>3</v>
      </c>
      <c r="D189" s="202" t="s">
        <v>38</v>
      </c>
      <c r="E189" s="475"/>
      <c r="F189" s="16" t="s">
        <v>402</v>
      </c>
      <c r="G189" s="622">
        <v>0</v>
      </c>
      <c r="H189" s="51">
        <f t="shared" ref="H189:T189" si="61">+G189</f>
        <v>0</v>
      </c>
      <c r="I189" s="51">
        <f t="shared" si="61"/>
        <v>0</v>
      </c>
      <c r="J189" s="51">
        <f t="shared" si="61"/>
        <v>0</v>
      </c>
      <c r="K189" s="51">
        <f t="shared" si="61"/>
        <v>0</v>
      </c>
      <c r="L189" s="51">
        <f t="shared" si="61"/>
        <v>0</v>
      </c>
      <c r="M189" s="51">
        <f t="shared" si="61"/>
        <v>0</v>
      </c>
      <c r="N189" s="51">
        <f t="shared" si="61"/>
        <v>0</v>
      </c>
      <c r="O189" s="51">
        <f t="shared" si="61"/>
        <v>0</v>
      </c>
      <c r="P189" s="51">
        <f t="shared" si="61"/>
        <v>0</v>
      </c>
      <c r="Q189" s="51">
        <f t="shared" si="61"/>
        <v>0</v>
      </c>
      <c r="R189" s="51">
        <f t="shared" si="61"/>
        <v>0</v>
      </c>
      <c r="S189" s="51">
        <f t="shared" si="61"/>
        <v>0</v>
      </c>
      <c r="T189" s="51">
        <f t="shared" si="61"/>
        <v>0</v>
      </c>
      <c r="U189" s="52">
        <f>T189</f>
        <v>0</v>
      </c>
    </row>
    <row r="190" spans="1:21">
      <c r="G190" s="125"/>
      <c r="H190" s="125"/>
    </row>
    <row r="192" spans="1:21" ht="15.75">
      <c r="C192" s="381" t="str">
        <f>+MENU!$C$61</f>
        <v>3.8. - SISTEMA DE BILHETAGEM ELETRÔNICA, ITS E CÂMERAS E MONITORAMENTO</v>
      </c>
    </row>
    <row r="194" spans="3:21" ht="18" customHeight="1">
      <c r="C194" s="694" t="s">
        <v>59</v>
      </c>
      <c r="D194" s="694"/>
      <c r="E194" s="695"/>
      <c r="F194" s="14" t="s">
        <v>6</v>
      </c>
      <c r="G194" s="572">
        <v>1</v>
      </c>
      <c r="H194" s="572">
        <f t="shared" ref="H194:U194" si="62">+G194+1</f>
        <v>2</v>
      </c>
      <c r="I194" s="572">
        <f t="shared" si="62"/>
        <v>3</v>
      </c>
      <c r="J194" s="572">
        <f t="shared" si="62"/>
        <v>4</v>
      </c>
      <c r="K194" s="572">
        <f t="shared" si="62"/>
        <v>5</v>
      </c>
      <c r="L194" s="572">
        <f t="shared" si="62"/>
        <v>6</v>
      </c>
      <c r="M194" s="572">
        <f t="shared" si="62"/>
        <v>7</v>
      </c>
      <c r="N194" s="572">
        <f t="shared" si="62"/>
        <v>8</v>
      </c>
      <c r="O194" s="572">
        <f t="shared" si="62"/>
        <v>9</v>
      </c>
      <c r="P194" s="572">
        <f t="shared" si="62"/>
        <v>10</v>
      </c>
      <c r="Q194" s="572">
        <f t="shared" si="62"/>
        <v>11</v>
      </c>
      <c r="R194" s="572">
        <f t="shared" si="62"/>
        <v>12</v>
      </c>
      <c r="S194" s="572">
        <f t="shared" si="62"/>
        <v>13</v>
      </c>
      <c r="T194" s="572">
        <f t="shared" si="62"/>
        <v>14</v>
      </c>
      <c r="U194" s="573">
        <f t="shared" si="62"/>
        <v>15</v>
      </c>
    </row>
    <row r="195" spans="3:21" ht="24.95" customHeight="1">
      <c r="D195" s="242" t="s">
        <v>58</v>
      </c>
      <c r="E195" s="243"/>
      <c r="F195" s="20" t="s">
        <v>524</v>
      </c>
      <c r="G195" s="619">
        <v>705</v>
      </c>
      <c r="H195" s="51">
        <f t="shared" ref="H195:U195" si="63">G195</f>
        <v>705</v>
      </c>
      <c r="I195" s="51">
        <f t="shared" si="63"/>
        <v>705</v>
      </c>
      <c r="J195" s="51">
        <f t="shared" si="63"/>
        <v>705</v>
      </c>
      <c r="K195" s="51">
        <f t="shared" si="63"/>
        <v>705</v>
      </c>
      <c r="L195" s="51">
        <f t="shared" si="63"/>
        <v>705</v>
      </c>
      <c r="M195" s="51">
        <f t="shared" si="63"/>
        <v>705</v>
      </c>
      <c r="N195" s="51">
        <f t="shared" si="63"/>
        <v>705</v>
      </c>
      <c r="O195" s="51">
        <f t="shared" si="63"/>
        <v>705</v>
      </c>
      <c r="P195" s="51">
        <f t="shared" si="63"/>
        <v>705</v>
      </c>
      <c r="Q195" s="51">
        <f t="shared" si="63"/>
        <v>705</v>
      </c>
      <c r="R195" s="51">
        <f t="shared" si="63"/>
        <v>705</v>
      </c>
      <c r="S195" s="51">
        <f t="shared" si="63"/>
        <v>705</v>
      </c>
      <c r="T195" s="51">
        <f t="shared" si="63"/>
        <v>705</v>
      </c>
      <c r="U195" s="64">
        <f t="shared" si="63"/>
        <v>705</v>
      </c>
    </row>
    <row r="197" spans="3:21">
      <c r="G197" s="2">
        <f>G195*12</f>
        <v>8460</v>
      </c>
    </row>
    <row r="198" spans="3:21" ht="15.75">
      <c r="C198" s="381" t="str">
        <f>+MENU!$C$62</f>
        <v>3.9. - LOCAÇÃO DE GARAGEM</v>
      </c>
    </row>
    <row r="200" spans="3:21" ht="18" customHeight="1">
      <c r="C200" s="694" t="s">
        <v>360</v>
      </c>
      <c r="D200" s="694"/>
      <c r="E200" s="695"/>
      <c r="F200" s="14" t="s">
        <v>6</v>
      </c>
      <c r="G200" s="572">
        <v>1</v>
      </c>
      <c r="H200" s="572">
        <f t="shared" ref="H200:U200" si="64">+G200+1</f>
        <v>2</v>
      </c>
      <c r="I200" s="572">
        <f t="shared" si="64"/>
        <v>3</v>
      </c>
      <c r="J200" s="572">
        <f t="shared" si="64"/>
        <v>4</v>
      </c>
      <c r="K200" s="572">
        <f t="shared" si="64"/>
        <v>5</v>
      </c>
      <c r="L200" s="572">
        <f t="shared" si="64"/>
        <v>6</v>
      </c>
      <c r="M200" s="572">
        <f t="shared" si="64"/>
        <v>7</v>
      </c>
      <c r="N200" s="572">
        <f t="shared" si="64"/>
        <v>8</v>
      </c>
      <c r="O200" s="572">
        <f t="shared" si="64"/>
        <v>9</v>
      </c>
      <c r="P200" s="572">
        <f t="shared" si="64"/>
        <v>10</v>
      </c>
      <c r="Q200" s="572">
        <f t="shared" si="64"/>
        <v>11</v>
      </c>
      <c r="R200" s="572">
        <f t="shared" si="64"/>
        <v>12</v>
      </c>
      <c r="S200" s="572">
        <f t="shared" si="64"/>
        <v>13</v>
      </c>
      <c r="T200" s="572">
        <f t="shared" si="64"/>
        <v>14</v>
      </c>
      <c r="U200" s="573">
        <f t="shared" si="64"/>
        <v>15</v>
      </c>
    </row>
    <row r="201" spans="3:21" ht="24.95" customHeight="1">
      <c r="D201" s="242" t="s">
        <v>364</v>
      </c>
      <c r="E201" s="243"/>
      <c r="F201" s="20" t="s">
        <v>163</v>
      </c>
      <c r="G201" s="619">
        <v>10000</v>
      </c>
      <c r="H201" s="51">
        <f t="shared" ref="H201:U201" si="65">G201</f>
        <v>10000</v>
      </c>
      <c r="I201" s="51">
        <f t="shared" si="65"/>
        <v>10000</v>
      </c>
      <c r="J201" s="51">
        <f t="shared" si="65"/>
        <v>10000</v>
      </c>
      <c r="K201" s="51">
        <f t="shared" si="65"/>
        <v>10000</v>
      </c>
      <c r="L201" s="51">
        <f t="shared" si="65"/>
        <v>10000</v>
      </c>
      <c r="M201" s="51">
        <f t="shared" si="65"/>
        <v>10000</v>
      </c>
      <c r="N201" s="51">
        <f t="shared" si="65"/>
        <v>10000</v>
      </c>
      <c r="O201" s="51">
        <f t="shared" si="65"/>
        <v>10000</v>
      </c>
      <c r="P201" s="51">
        <f t="shared" si="65"/>
        <v>10000</v>
      </c>
      <c r="Q201" s="51">
        <f t="shared" si="65"/>
        <v>10000</v>
      </c>
      <c r="R201" s="51">
        <f t="shared" si="65"/>
        <v>10000</v>
      </c>
      <c r="S201" s="51">
        <f t="shared" si="65"/>
        <v>10000</v>
      </c>
      <c r="T201" s="51">
        <f t="shared" si="65"/>
        <v>10000</v>
      </c>
      <c r="U201" s="64">
        <f t="shared" si="65"/>
        <v>10000</v>
      </c>
    </row>
  </sheetData>
  <mergeCells count="20">
    <mergeCell ref="C200:E200"/>
    <mergeCell ref="C133:D133"/>
    <mergeCell ref="C103:D103"/>
    <mergeCell ref="C118:D118"/>
    <mergeCell ref="D149:E149"/>
    <mergeCell ref="C194:E194"/>
    <mergeCell ref="C184:E184"/>
    <mergeCell ref="C177:E177"/>
    <mergeCell ref="C167:E167"/>
    <mergeCell ref="C159:E159"/>
    <mergeCell ref="C80:D80"/>
    <mergeCell ref="C65:D65"/>
    <mergeCell ref="C50:D50"/>
    <mergeCell ref="C11:E11"/>
    <mergeCell ref="D12:E12"/>
    <mergeCell ref="D13:E13"/>
    <mergeCell ref="C18:E18"/>
    <mergeCell ref="C26:E26"/>
    <mergeCell ref="C33:E33"/>
    <mergeCell ref="C43:E43"/>
  </mergeCells>
  <pageMargins left="0.51181102362204722" right="0.51181102362204722" top="0.78740157480314965" bottom="0.78740157480314965" header="0.31496062992125984" footer="0.31496062992125984"/>
  <pageSetup paperSize="9" scale="70" fitToHeight="2" orientation="landscape" verticalDpi="300" r:id="rId1"/>
  <rowBreaks count="5" manualBreakCount="5">
    <brk id="38" min="1" max="20" man="1"/>
    <brk id="77" min="1" max="20" man="1"/>
    <brk id="115" min="1" max="20" man="1"/>
    <brk id="145" min="1" max="20" man="1"/>
    <brk id="172" min="1" max="2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W82"/>
  <sheetViews>
    <sheetView showGridLines="0" view="pageBreakPreview" topLeftCell="A61" zoomScaleNormal="43" zoomScaleSheetLayoutView="100" workbookViewId="0">
      <selection activeCell="C73" sqref="C73:T80"/>
    </sheetView>
  </sheetViews>
  <sheetFormatPr defaultRowHeight="12.75"/>
  <cols>
    <col min="1" max="1" width="1.140625" style="2" customWidth="1"/>
    <col min="2" max="2" width="2.42578125" style="2" customWidth="1"/>
    <col min="3" max="3" width="2.140625" style="2" customWidth="1"/>
    <col min="4" max="4" width="28.140625" style="2" customWidth="1"/>
    <col min="5" max="5" width="13.28515625" style="5" customWidth="1"/>
    <col min="6" max="20" width="11.28515625" style="2" bestFit="1" customWidth="1"/>
    <col min="21" max="16384" width="9.140625" style="2"/>
  </cols>
  <sheetData>
    <row r="1" spans="1:21">
      <c r="B1" s="1"/>
      <c r="C1" s="1"/>
      <c r="D1" s="1"/>
      <c r="E1" s="36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15">
      <c r="B2" s="1"/>
      <c r="C2" s="1"/>
      <c r="D2" s="1"/>
      <c r="E2" s="403" t="s">
        <v>365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1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1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7" t="str">
        <f>+MENU!$C$5</f>
        <v>DATA BASE DE CÁLCULO: MARÇO 2020</v>
      </c>
    </row>
    <row r="7" spans="1:21" ht="15.75">
      <c r="B7" s="381" t="str">
        <f>+MENU!$C$63</f>
        <v>4. - CÁLCULO DOS CUSTOS VARIÁVEIS</v>
      </c>
    </row>
    <row r="9" spans="1:21" ht="15.75">
      <c r="C9" s="381" t="str">
        <f>+MENU!$C$64</f>
        <v>4.1. - CÁLCULO DOS CUSTEIOS COM COMBUSTÍVEIS</v>
      </c>
    </row>
    <row r="11" spans="1:21" ht="15.75">
      <c r="C11" s="381" t="str">
        <f>+MENU!$C$65</f>
        <v>4.1.1. - CUSTEIOS COM ÓLEO DIESEL</v>
      </c>
    </row>
    <row r="12" spans="1:21" ht="13.5" thickBot="1">
      <c r="C12" s="4"/>
    </row>
    <row r="13" spans="1:21" ht="18" customHeight="1">
      <c r="C13" s="707" t="s">
        <v>43</v>
      </c>
      <c r="D13" s="707"/>
      <c r="E13" s="582" t="s">
        <v>6</v>
      </c>
      <c r="F13" s="583">
        <v>1</v>
      </c>
      <c r="G13" s="584">
        <f t="shared" ref="G13:T13" si="0">+F13+1</f>
        <v>2</v>
      </c>
      <c r="H13" s="584">
        <f t="shared" si="0"/>
        <v>3</v>
      </c>
      <c r="I13" s="584">
        <f t="shared" si="0"/>
        <v>4</v>
      </c>
      <c r="J13" s="584">
        <f t="shared" si="0"/>
        <v>5</v>
      </c>
      <c r="K13" s="584">
        <f t="shared" si="0"/>
        <v>6</v>
      </c>
      <c r="L13" s="584">
        <f t="shared" si="0"/>
        <v>7</v>
      </c>
      <c r="M13" s="584">
        <f t="shared" si="0"/>
        <v>8</v>
      </c>
      <c r="N13" s="584">
        <f t="shared" si="0"/>
        <v>9</v>
      </c>
      <c r="O13" s="584">
        <f t="shared" si="0"/>
        <v>10</v>
      </c>
      <c r="P13" s="584">
        <f t="shared" si="0"/>
        <v>11</v>
      </c>
      <c r="Q13" s="584">
        <f t="shared" si="0"/>
        <v>12</v>
      </c>
      <c r="R13" s="584">
        <f t="shared" si="0"/>
        <v>13</v>
      </c>
      <c r="S13" s="584">
        <f t="shared" si="0"/>
        <v>14</v>
      </c>
      <c r="T13" s="585">
        <f t="shared" si="0"/>
        <v>15</v>
      </c>
    </row>
    <row r="14" spans="1:21">
      <c r="A14" s="2">
        <v>1</v>
      </c>
      <c r="D14" s="216" t="str">
        <f>VLOOKUP(A14,TIPOLOGIA!$D$10:$E$12,2,0)</f>
        <v>MICROÔNIBUS</v>
      </c>
      <c r="E14" s="225" t="s">
        <v>70</v>
      </c>
      <c r="F14" s="222">
        <f>'3. PREÇOS INSUMOS'!G$12*'2. COEFICIENTES'!F14*'1. DADOS OPERACIONAIS'!F37</f>
        <v>16606.14319256672</v>
      </c>
      <c r="G14" s="69">
        <f>'3. PREÇOS INSUMOS'!H$12*'2. COEFICIENTES'!G14*'1. DADOS OPERACIONAIS'!G37</f>
        <v>16606.14319256672</v>
      </c>
      <c r="H14" s="69">
        <f>'3. PREÇOS INSUMOS'!I$12*'2. COEFICIENTES'!H14*'1. DADOS OPERACIONAIS'!H37</f>
        <v>16606.14319256672</v>
      </c>
      <c r="I14" s="69">
        <f>'3. PREÇOS INSUMOS'!J$12*'2. COEFICIENTES'!I14*'1. DADOS OPERACIONAIS'!I37</f>
        <v>16606.14319256672</v>
      </c>
      <c r="J14" s="69">
        <f>'3. PREÇOS INSUMOS'!K$12*'2. COEFICIENTES'!J14*'1. DADOS OPERACIONAIS'!J37</f>
        <v>16606.14319256672</v>
      </c>
      <c r="K14" s="69">
        <f>'3. PREÇOS INSUMOS'!L$12*'2. COEFICIENTES'!K14*'1. DADOS OPERACIONAIS'!K37</f>
        <v>16606.14319256672</v>
      </c>
      <c r="L14" s="69">
        <f>'3. PREÇOS INSUMOS'!M$12*'2. COEFICIENTES'!L14*'1. DADOS OPERACIONAIS'!L37</f>
        <v>16606.14319256672</v>
      </c>
      <c r="M14" s="69">
        <f>'3. PREÇOS INSUMOS'!N$12*'2. COEFICIENTES'!M14*'1. DADOS OPERACIONAIS'!M37</f>
        <v>16606.14319256672</v>
      </c>
      <c r="N14" s="69">
        <f>'3. PREÇOS INSUMOS'!O$12*'2. COEFICIENTES'!N14*'1. DADOS OPERACIONAIS'!N37</f>
        <v>16606.14319256672</v>
      </c>
      <c r="O14" s="69">
        <f>'3. PREÇOS INSUMOS'!P$12*'2. COEFICIENTES'!O14*'1. DADOS OPERACIONAIS'!O37</f>
        <v>16606.14319256672</v>
      </c>
      <c r="P14" s="69">
        <f>'3. PREÇOS INSUMOS'!Q$12*'2. COEFICIENTES'!P14*'1. DADOS OPERACIONAIS'!P37</f>
        <v>16606.14319256672</v>
      </c>
      <c r="Q14" s="69">
        <f>'3. PREÇOS INSUMOS'!R$12*'2. COEFICIENTES'!Q14*'1. DADOS OPERACIONAIS'!Q37</f>
        <v>16606.14319256672</v>
      </c>
      <c r="R14" s="69">
        <f>'3. PREÇOS INSUMOS'!S$12*'2. COEFICIENTES'!R14*'1. DADOS OPERACIONAIS'!R37</f>
        <v>16606.14319256672</v>
      </c>
      <c r="S14" s="69">
        <f>'3. PREÇOS INSUMOS'!T$12*'2. COEFICIENTES'!S14*'1. DADOS OPERACIONAIS'!S37</f>
        <v>16606.14319256672</v>
      </c>
      <c r="T14" s="70">
        <f>'3. PREÇOS INSUMOS'!U$12*'2. COEFICIENTES'!T14*'1. DADOS OPERACIONAIS'!T37</f>
        <v>16606.14319256672</v>
      </c>
      <c r="U14" s="96"/>
    </row>
    <row r="15" spans="1:21">
      <c r="A15" s="2">
        <v>2</v>
      </c>
      <c r="D15" s="217" t="str">
        <f>VLOOKUP(A15,TIPOLOGIA!$D$10:$E$12,2,0)</f>
        <v>CONVENCIONAL</v>
      </c>
      <c r="E15" s="226" t="str">
        <f>+E14</f>
        <v>(R$/mês)</v>
      </c>
      <c r="F15" s="222">
        <f>'3. PREÇOS INSUMOS'!G$12*'2. COEFICIENTES'!F15*'1. DADOS OPERACIONAIS'!F38</f>
        <v>54385.947605515918</v>
      </c>
      <c r="G15" s="94">
        <f>'3. PREÇOS INSUMOS'!H$12*'2. COEFICIENTES'!G15*'1. DADOS OPERACIONAIS'!G38</f>
        <v>54385.947605515918</v>
      </c>
      <c r="H15" s="94">
        <f>'3. PREÇOS INSUMOS'!I$12*'2. COEFICIENTES'!H15*'1. DADOS OPERACIONAIS'!H38</f>
        <v>54385.947605515918</v>
      </c>
      <c r="I15" s="94">
        <f>'3. PREÇOS INSUMOS'!J$12*'2. COEFICIENTES'!I15*'1. DADOS OPERACIONAIS'!I38</f>
        <v>54385.947605515918</v>
      </c>
      <c r="J15" s="94">
        <f>'3. PREÇOS INSUMOS'!K$12*'2. COEFICIENTES'!J15*'1. DADOS OPERACIONAIS'!J38</f>
        <v>54385.947605515918</v>
      </c>
      <c r="K15" s="94">
        <f>'3. PREÇOS INSUMOS'!L$12*'2. COEFICIENTES'!K15*'1. DADOS OPERACIONAIS'!K38</f>
        <v>54385.947605515918</v>
      </c>
      <c r="L15" s="94">
        <f>'3. PREÇOS INSUMOS'!M$12*'2. COEFICIENTES'!L15*'1. DADOS OPERACIONAIS'!L38</f>
        <v>54385.947605515918</v>
      </c>
      <c r="M15" s="94">
        <f>'3. PREÇOS INSUMOS'!N$12*'2. COEFICIENTES'!M15*'1. DADOS OPERACIONAIS'!M38</f>
        <v>54385.947605515918</v>
      </c>
      <c r="N15" s="94">
        <f>'3. PREÇOS INSUMOS'!O$12*'2. COEFICIENTES'!N15*'1. DADOS OPERACIONAIS'!N38</f>
        <v>54385.947605515918</v>
      </c>
      <c r="O15" s="94">
        <f>'3. PREÇOS INSUMOS'!P$12*'2. COEFICIENTES'!O15*'1. DADOS OPERACIONAIS'!O38</f>
        <v>54385.947605515918</v>
      </c>
      <c r="P15" s="94">
        <f>'3. PREÇOS INSUMOS'!Q$12*'2. COEFICIENTES'!P15*'1. DADOS OPERACIONAIS'!P38</f>
        <v>54385.947605515918</v>
      </c>
      <c r="Q15" s="94">
        <f>'3. PREÇOS INSUMOS'!R$12*'2. COEFICIENTES'!Q15*'1. DADOS OPERACIONAIS'!Q38</f>
        <v>54385.947605515918</v>
      </c>
      <c r="R15" s="94">
        <f>'3. PREÇOS INSUMOS'!S$12*'2. COEFICIENTES'!R15*'1. DADOS OPERACIONAIS'!R38</f>
        <v>54385.947605515918</v>
      </c>
      <c r="S15" s="94">
        <f>'3. PREÇOS INSUMOS'!T$12*'2. COEFICIENTES'!S15*'1. DADOS OPERACIONAIS'!S38</f>
        <v>54385.947605515918</v>
      </c>
      <c r="T15" s="95">
        <f>'3. PREÇOS INSUMOS'!U$12*'2. COEFICIENTES'!T15*'1. DADOS OPERACIONAIS'!T38</f>
        <v>54385.947605515918</v>
      </c>
      <c r="U15" s="96"/>
    </row>
    <row r="16" spans="1:21" ht="13.5" thickBot="1">
      <c r="A16" s="2">
        <v>3</v>
      </c>
      <c r="D16" s="218" t="str">
        <f>VLOOKUP(A16,TIPOLOGIA!$D$10:$E$12,2,0)</f>
        <v>-</v>
      </c>
      <c r="E16" s="228" t="str">
        <f>+E15</f>
        <v>(R$/mês)</v>
      </c>
      <c r="F16" s="137">
        <f>'3. PREÇOS INSUMOS'!G$12*'2. COEFICIENTES'!F16*'1. DADOS OPERACIONAIS'!F39</f>
        <v>0</v>
      </c>
      <c r="G16" s="103">
        <f>'3. PREÇOS INSUMOS'!H$12*'2. COEFICIENTES'!G16*'1. DADOS OPERACIONAIS'!G39</f>
        <v>0</v>
      </c>
      <c r="H16" s="103">
        <f>'3. PREÇOS INSUMOS'!I$12*'2. COEFICIENTES'!H16*'1. DADOS OPERACIONAIS'!H39</f>
        <v>0</v>
      </c>
      <c r="I16" s="103">
        <f>'3. PREÇOS INSUMOS'!J$12*'2. COEFICIENTES'!I16*'1. DADOS OPERACIONAIS'!I39</f>
        <v>0</v>
      </c>
      <c r="J16" s="103">
        <f>'3. PREÇOS INSUMOS'!K$12*'2. COEFICIENTES'!J16*'1. DADOS OPERACIONAIS'!J39</f>
        <v>0</v>
      </c>
      <c r="K16" s="103">
        <f>'3. PREÇOS INSUMOS'!L$12*'2. COEFICIENTES'!K16*'1. DADOS OPERACIONAIS'!K39</f>
        <v>0</v>
      </c>
      <c r="L16" s="103">
        <f>'3. PREÇOS INSUMOS'!M$12*'2. COEFICIENTES'!L16*'1. DADOS OPERACIONAIS'!L39</f>
        <v>0</v>
      </c>
      <c r="M16" s="103">
        <f>'3. PREÇOS INSUMOS'!N$12*'2. COEFICIENTES'!M16*'1. DADOS OPERACIONAIS'!M39</f>
        <v>0</v>
      </c>
      <c r="N16" s="103">
        <f>'3. PREÇOS INSUMOS'!O$12*'2. COEFICIENTES'!N16*'1. DADOS OPERACIONAIS'!N39</f>
        <v>0</v>
      </c>
      <c r="O16" s="103">
        <f>'3. PREÇOS INSUMOS'!P$12*'2. COEFICIENTES'!O16*'1. DADOS OPERACIONAIS'!O39</f>
        <v>0</v>
      </c>
      <c r="P16" s="103">
        <f>'3. PREÇOS INSUMOS'!Q$12*'2. COEFICIENTES'!P16*'1. DADOS OPERACIONAIS'!P39</f>
        <v>0</v>
      </c>
      <c r="Q16" s="103">
        <f>'3. PREÇOS INSUMOS'!R$12*'2. COEFICIENTES'!Q16*'1. DADOS OPERACIONAIS'!Q39</f>
        <v>0</v>
      </c>
      <c r="R16" s="103">
        <f>'3. PREÇOS INSUMOS'!S$12*'2. COEFICIENTES'!R16*'1. DADOS OPERACIONAIS'!R39</f>
        <v>0</v>
      </c>
      <c r="S16" s="103">
        <f>'3. PREÇOS INSUMOS'!T$12*'2. COEFICIENTES'!S16*'1. DADOS OPERACIONAIS'!S39</f>
        <v>0</v>
      </c>
      <c r="T16" s="104">
        <f>'3. PREÇOS INSUMOS'!U$12*'2. COEFICIENTES'!T16*'1. DADOS OPERACIONAIS'!T39</f>
        <v>0</v>
      </c>
      <c r="U16" s="96"/>
    </row>
    <row r="17" spans="1:21">
      <c r="A17" s="2">
        <v>3</v>
      </c>
      <c r="D17" s="231" t="s">
        <v>71</v>
      </c>
      <c r="E17" s="233" t="str">
        <f>+E16</f>
        <v>(R$/mês)</v>
      </c>
      <c r="F17" s="232">
        <f>SUM(F14:F16)</f>
        <v>70992.090798082645</v>
      </c>
      <c r="G17" s="101">
        <f t="shared" ref="G17:T17" si="1">SUM(G14:G16)</f>
        <v>70992.090798082645</v>
      </c>
      <c r="H17" s="101">
        <f t="shared" si="1"/>
        <v>70992.090798082645</v>
      </c>
      <c r="I17" s="101">
        <f t="shared" si="1"/>
        <v>70992.090798082645</v>
      </c>
      <c r="J17" s="101">
        <f t="shared" si="1"/>
        <v>70992.090798082645</v>
      </c>
      <c r="K17" s="101">
        <f t="shared" si="1"/>
        <v>70992.090798082645</v>
      </c>
      <c r="L17" s="101">
        <f t="shared" si="1"/>
        <v>70992.090798082645</v>
      </c>
      <c r="M17" s="101">
        <f t="shared" si="1"/>
        <v>70992.090798082645</v>
      </c>
      <c r="N17" s="101">
        <f t="shared" si="1"/>
        <v>70992.090798082645</v>
      </c>
      <c r="O17" s="101">
        <f t="shared" si="1"/>
        <v>70992.090798082645</v>
      </c>
      <c r="P17" s="101">
        <f t="shared" si="1"/>
        <v>70992.090798082645</v>
      </c>
      <c r="Q17" s="101">
        <f t="shared" si="1"/>
        <v>70992.090798082645</v>
      </c>
      <c r="R17" s="101">
        <f t="shared" si="1"/>
        <v>70992.090798082645</v>
      </c>
      <c r="S17" s="101">
        <f t="shared" si="1"/>
        <v>70992.090798082645</v>
      </c>
      <c r="T17" s="102">
        <f t="shared" si="1"/>
        <v>70992.090798082645</v>
      </c>
      <c r="U17" s="96"/>
    </row>
    <row r="18" spans="1:21" ht="13.5" thickBot="1">
      <c r="A18" s="2">
        <v>3</v>
      </c>
      <c r="D18" s="220" t="s">
        <v>71</v>
      </c>
      <c r="E18" s="230" t="s">
        <v>167</v>
      </c>
      <c r="F18" s="224">
        <f>+F17*12</f>
        <v>851905.08957699174</v>
      </c>
      <c r="G18" s="212">
        <f>+G17*12</f>
        <v>851905.08957699174</v>
      </c>
      <c r="H18" s="212">
        <f t="shared" ref="H18:T18" si="2">+H17*12</f>
        <v>851905.08957699174</v>
      </c>
      <c r="I18" s="212">
        <f t="shared" si="2"/>
        <v>851905.08957699174</v>
      </c>
      <c r="J18" s="212">
        <f t="shared" si="2"/>
        <v>851905.08957699174</v>
      </c>
      <c r="K18" s="212">
        <f t="shared" si="2"/>
        <v>851905.08957699174</v>
      </c>
      <c r="L18" s="212">
        <f t="shared" si="2"/>
        <v>851905.08957699174</v>
      </c>
      <c r="M18" s="212">
        <f t="shared" si="2"/>
        <v>851905.08957699174</v>
      </c>
      <c r="N18" s="212">
        <f t="shared" si="2"/>
        <v>851905.08957699174</v>
      </c>
      <c r="O18" s="212">
        <f t="shared" si="2"/>
        <v>851905.08957699174</v>
      </c>
      <c r="P18" s="212">
        <f t="shared" si="2"/>
        <v>851905.08957699174</v>
      </c>
      <c r="Q18" s="212">
        <f t="shared" si="2"/>
        <v>851905.08957699174</v>
      </c>
      <c r="R18" s="212">
        <f t="shared" si="2"/>
        <v>851905.08957699174</v>
      </c>
      <c r="S18" s="212">
        <f t="shared" si="2"/>
        <v>851905.08957699174</v>
      </c>
      <c r="T18" s="213">
        <f t="shared" si="2"/>
        <v>851905.08957699174</v>
      </c>
      <c r="U18" s="96"/>
    </row>
    <row r="19" spans="1:21"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</row>
    <row r="20" spans="1:21" ht="15.75">
      <c r="C20" s="381" t="str">
        <f>+MENU!$C$66</f>
        <v>4.1.2. - CUSTEIOS COM ARLA32</v>
      </c>
    </row>
    <row r="21" spans="1:21" ht="13.5" thickBot="1">
      <c r="C21" s="4"/>
    </row>
    <row r="22" spans="1:21" ht="18" customHeight="1">
      <c r="C22" s="707" t="s">
        <v>44</v>
      </c>
      <c r="D22" s="707"/>
      <c r="E22" s="582" t="s">
        <v>6</v>
      </c>
      <c r="F22" s="583">
        <v>1</v>
      </c>
      <c r="G22" s="584">
        <f t="shared" ref="G22:T22" si="3">+F22+1</f>
        <v>2</v>
      </c>
      <c r="H22" s="584">
        <f t="shared" si="3"/>
        <v>3</v>
      </c>
      <c r="I22" s="584">
        <f t="shared" si="3"/>
        <v>4</v>
      </c>
      <c r="J22" s="584">
        <f t="shared" si="3"/>
        <v>5</v>
      </c>
      <c r="K22" s="584">
        <f t="shared" si="3"/>
        <v>6</v>
      </c>
      <c r="L22" s="584">
        <f t="shared" si="3"/>
        <v>7</v>
      </c>
      <c r="M22" s="584">
        <f t="shared" si="3"/>
        <v>8</v>
      </c>
      <c r="N22" s="584">
        <f t="shared" si="3"/>
        <v>9</v>
      </c>
      <c r="O22" s="584">
        <f t="shared" si="3"/>
        <v>10</v>
      </c>
      <c r="P22" s="584">
        <f t="shared" si="3"/>
        <v>11</v>
      </c>
      <c r="Q22" s="584">
        <f t="shared" si="3"/>
        <v>12</v>
      </c>
      <c r="R22" s="584">
        <f t="shared" si="3"/>
        <v>13</v>
      </c>
      <c r="S22" s="584">
        <f t="shared" si="3"/>
        <v>14</v>
      </c>
      <c r="T22" s="585">
        <f t="shared" si="3"/>
        <v>15</v>
      </c>
    </row>
    <row r="23" spans="1:21">
      <c r="A23" s="2">
        <v>1</v>
      </c>
      <c r="D23" s="216" t="str">
        <f>VLOOKUP(A23,TIPOLOGIA!$D$10:$E$12,2,0)</f>
        <v>MICROÔNIBUS</v>
      </c>
      <c r="E23" s="225" t="s">
        <v>70</v>
      </c>
      <c r="F23" s="222">
        <f>+'2. COEFICIENTES'!F14*'2. COEFICIENTES'!F$21*'3. PREÇOS INSUMOS'!G$13*'1. DADOS OPERACIONAIS'!F37</f>
        <v>239.81793854628134</v>
      </c>
      <c r="G23" s="69">
        <f>+'2. COEFICIENTES'!G14*'2. COEFICIENTES'!G$21*'3. PREÇOS INSUMOS'!H$13*'1. DADOS OPERACIONAIS'!G37</f>
        <v>239.81793854628134</v>
      </c>
      <c r="H23" s="69">
        <f>+'2. COEFICIENTES'!H14*'2. COEFICIENTES'!H$21*'3. PREÇOS INSUMOS'!I$13*'1. DADOS OPERACIONAIS'!H37</f>
        <v>239.81793854628134</v>
      </c>
      <c r="I23" s="69">
        <f>+'2. COEFICIENTES'!I14*'2. COEFICIENTES'!I$21*'3. PREÇOS INSUMOS'!J$13*'1. DADOS OPERACIONAIS'!I37</f>
        <v>239.81793854628134</v>
      </c>
      <c r="J23" s="69">
        <f>+'2. COEFICIENTES'!J14*'2. COEFICIENTES'!J$21*'3. PREÇOS INSUMOS'!K$13*'1. DADOS OPERACIONAIS'!J37</f>
        <v>239.81793854628134</v>
      </c>
      <c r="K23" s="69">
        <f>+'2. COEFICIENTES'!K14*'2. COEFICIENTES'!K$21*'3. PREÇOS INSUMOS'!L$13*'1. DADOS OPERACIONAIS'!K37</f>
        <v>239.81793854628134</v>
      </c>
      <c r="L23" s="69">
        <f>+'2. COEFICIENTES'!L14*'2. COEFICIENTES'!L$21*'3. PREÇOS INSUMOS'!M$13*'1. DADOS OPERACIONAIS'!L37</f>
        <v>239.81793854628134</v>
      </c>
      <c r="M23" s="69">
        <f>+'2. COEFICIENTES'!M14*'2. COEFICIENTES'!M$21*'3. PREÇOS INSUMOS'!N$13*'1. DADOS OPERACIONAIS'!M37</f>
        <v>239.81793854628134</v>
      </c>
      <c r="N23" s="69">
        <f>+'2. COEFICIENTES'!N14*'2. COEFICIENTES'!N$21*'3. PREÇOS INSUMOS'!O$13*'1. DADOS OPERACIONAIS'!N37</f>
        <v>239.81793854628134</v>
      </c>
      <c r="O23" s="69">
        <f>+'2. COEFICIENTES'!O14*'2. COEFICIENTES'!O$21*'3. PREÇOS INSUMOS'!P$13*'1. DADOS OPERACIONAIS'!O37</f>
        <v>239.81793854628134</v>
      </c>
      <c r="P23" s="69">
        <f>+'2. COEFICIENTES'!P14*'2. COEFICIENTES'!P$21*'3. PREÇOS INSUMOS'!Q$13*'1. DADOS OPERACIONAIS'!P37</f>
        <v>239.81793854628134</v>
      </c>
      <c r="Q23" s="69">
        <f>+'2. COEFICIENTES'!Q14*'2. COEFICIENTES'!Q$21*'3. PREÇOS INSUMOS'!R$13*'1. DADOS OPERACIONAIS'!Q37</f>
        <v>239.81793854628134</v>
      </c>
      <c r="R23" s="69">
        <f>+'2. COEFICIENTES'!R14*'2. COEFICIENTES'!R$21*'3. PREÇOS INSUMOS'!S$13*'1. DADOS OPERACIONAIS'!R37</f>
        <v>239.81793854628134</v>
      </c>
      <c r="S23" s="69">
        <f>+'2. COEFICIENTES'!S14*'2. COEFICIENTES'!S$21*'3. PREÇOS INSUMOS'!T$13*'1. DADOS OPERACIONAIS'!S37</f>
        <v>239.81793854628134</v>
      </c>
      <c r="T23" s="70">
        <f>+'2. COEFICIENTES'!T14*'2. COEFICIENTES'!T$21*'3. PREÇOS INSUMOS'!U$13*'1. DADOS OPERACIONAIS'!T37</f>
        <v>239.81793854628134</v>
      </c>
    </row>
    <row r="24" spans="1:21">
      <c r="A24" s="2">
        <v>2</v>
      </c>
      <c r="D24" s="217" t="str">
        <f>VLOOKUP(A24,TIPOLOGIA!$D$10:$E$12,2,0)</f>
        <v>CONVENCIONAL</v>
      </c>
      <c r="E24" s="226" t="str">
        <f>+E23</f>
        <v>(R$/mês)</v>
      </c>
      <c r="F24" s="222">
        <f>+'2. COEFICIENTES'!F15*'2. COEFICIENTES'!F$21*'3. PREÇOS INSUMOS'!G$13*'1. DADOS OPERACIONAIS'!F38</f>
        <v>785.41571570207282</v>
      </c>
      <c r="G24" s="94">
        <f>+'2. COEFICIENTES'!G15*'2. COEFICIENTES'!G$21*'3. PREÇOS INSUMOS'!H$13*'1. DADOS OPERACIONAIS'!G38</f>
        <v>785.41571570207282</v>
      </c>
      <c r="H24" s="94">
        <f>+'2. COEFICIENTES'!H15*'2. COEFICIENTES'!H$21*'3. PREÇOS INSUMOS'!I$13*'1. DADOS OPERACIONAIS'!H38</f>
        <v>785.41571570207282</v>
      </c>
      <c r="I24" s="94">
        <f>+'2. COEFICIENTES'!I15*'2. COEFICIENTES'!I$21*'3. PREÇOS INSUMOS'!J$13*'1. DADOS OPERACIONAIS'!I38</f>
        <v>785.41571570207282</v>
      </c>
      <c r="J24" s="94">
        <f>+'2. COEFICIENTES'!J15*'2. COEFICIENTES'!J$21*'3. PREÇOS INSUMOS'!K$13*'1. DADOS OPERACIONAIS'!J38</f>
        <v>785.41571570207282</v>
      </c>
      <c r="K24" s="94">
        <f>+'2. COEFICIENTES'!K15*'2. COEFICIENTES'!K$21*'3. PREÇOS INSUMOS'!L$13*'1. DADOS OPERACIONAIS'!K38</f>
        <v>785.41571570207282</v>
      </c>
      <c r="L24" s="94">
        <f>+'2. COEFICIENTES'!L15*'2. COEFICIENTES'!L$21*'3. PREÇOS INSUMOS'!M$13*'1. DADOS OPERACIONAIS'!L38</f>
        <v>785.41571570207282</v>
      </c>
      <c r="M24" s="94">
        <f>+'2. COEFICIENTES'!M15*'2. COEFICIENTES'!M$21*'3. PREÇOS INSUMOS'!N$13*'1. DADOS OPERACIONAIS'!M38</f>
        <v>785.41571570207282</v>
      </c>
      <c r="N24" s="94">
        <f>+'2. COEFICIENTES'!N15*'2. COEFICIENTES'!N$21*'3. PREÇOS INSUMOS'!O$13*'1. DADOS OPERACIONAIS'!N38</f>
        <v>785.41571570207282</v>
      </c>
      <c r="O24" s="94">
        <f>+'2. COEFICIENTES'!O15*'2. COEFICIENTES'!O$21*'3. PREÇOS INSUMOS'!P$13*'1. DADOS OPERACIONAIS'!O38</f>
        <v>785.41571570207282</v>
      </c>
      <c r="P24" s="94">
        <f>+'2. COEFICIENTES'!P15*'2. COEFICIENTES'!P$21*'3. PREÇOS INSUMOS'!Q$13*'1. DADOS OPERACIONAIS'!P38</f>
        <v>785.41571570207282</v>
      </c>
      <c r="Q24" s="94">
        <f>+'2. COEFICIENTES'!Q15*'2. COEFICIENTES'!Q$21*'3. PREÇOS INSUMOS'!R$13*'1. DADOS OPERACIONAIS'!Q38</f>
        <v>785.41571570207282</v>
      </c>
      <c r="R24" s="94">
        <f>+'2. COEFICIENTES'!R15*'2. COEFICIENTES'!R$21*'3. PREÇOS INSUMOS'!S$13*'1. DADOS OPERACIONAIS'!R38</f>
        <v>785.41571570207282</v>
      </c>
      <c r="S24" s="94">
        <f>+'2. COEFICIENTES'!S15*'2. COEFICIENTES'!S$21*'3. PREÇOS INSUMOS'!T$13*'1. DADOS OPERACIONAIS'!S38</f>
        <v>785.41571570207282</v>
      </c>
      <c r="T24" s="95">
        <f>+'2. COEFICIENTES'!T15*'2. COEFICIENTES'!T$21*'3. PREÇOS INSUMOS'!U$13*'1. DADOS OPERACIONAIS'!T38</f>
        <v>785.41571570207282</v>
      </c>
    </row>
    <row r="25" spans="1:21" ht="13.5" thickBot="1">
      <c r="A25" s="2">
        <v>3</v>
      </c>
      <c r="D25" s="218" t="str">
        <f>VLOOKUP(A25,TIPOLOGIA!$D$10:$E$12,2,0)</f>
        <v>-</v>
      </c>
      <c r="E25" s="228" t="str">
        <f>+E24</f>
        <v>(R$/mês)</v>
      </c>
      <c r="F25" s="137">
        <f>+'2. COEFICIENTES'!F16*'2. COEFICIENTES'!F$21*'3. PREÇOS INSUMOS'!G$13*'1. DADOS OPERACIONAIS'!F39</f>
        <v>0</v>
      </c>
      <c r="G25" s="103">
        <f>+'2. COEFICIENTES'!G16*'2. COEFICIENTES'!G$21*'3. PREÇOS INSUMOS'!H$13*'1. DADOS OPERACIONAIS'!G39</f>
        <v>0</v>
      </c>
      <c r="H25" s="103">
        <f>+'2. COEFICIENTES'!H16*'2. COEFICIENTES'!H$21*'3. PREÇOS INSUMOS'!I$13*'1. DADOS OPERACIONAIS'!H39</f>
        <v>0</v>
      </c>
      <c r="I25" s="103">
        <f>+'2. COEFICIENTES'!I16*'2. COEFICIENTES'!I$21*'3. PREÇOS INSUMOS'!J$13*'1. DADOS OPERACIONAIS'!I39</f>
        <v>0</v>
      </c>
      <c r="J25" s="103">
        <f>+'2. COEFICIENTES'!J16*'2. COEFICIENTES'!J$21*'3. PREÇOS INSUMOS'!K$13*'1. DADOS OPERACIONAIS'!J39</f>
        <v>0</v>
      </c>
      <c r="K25" s="103">
        <f>+'2. COEFICIENTES'!K16*'2. COEFICIENTES'!K$21*'3. PREÇOS INSUMOS'!L$13*'1. DADOS OPERACIONAIS'!K39</f>
        <v>0</v>
      </c>
      <c r="L25" s="103">
        <f>+'2. COEFICIENTES'!L16*'2. COEFICIENTES'!L$21*'3. PREÇOS INSUMOS'!M$13*'1. DADOS OPERACIONAIS'!L39</f>
        <v>0</v>
      </c>
      <c r="M25" s="103">
        <f>+'2. COEFICIENTES'!M16*'2. COEFICIENTES'!M$21*'3. PREÇOS INSUMOS'!N$13*'1. DADOS OPERACIONAIS'!M39</f>
        <v>0</v>
      </c>
      <c r="N25" s="103">
        <f>+'2. COEFICIENTES'!N16*'2. COEFICIENTES'!N$21*'3. PREÇOS INSUMOS'!O$13*'1. DADOS OPERACIONAIS'!N39</f>
        <v>0</v>
      </c>
      <c r="O25" s="103">
        <f>+'2. COEFICIENTES'!O16*'2. COEFICIENTES'!O$21*'3. PREÇOS INSUMOS'!P$13*'1. DADOS OPERACIONAIS'!O39</f>
        <v>0</v>
      </c>
      <c r="P25" s="103">
        <f>+'2. COEFICIENTES'!P16*'2. COEFICIENTES'!P$21*'3. PREÇOS INSUMOS'!Q$13*'1. DADOS OPERACIONAIS'!P39</f>
        <v>0</v>
      </c>
      <c r="Q25" s="103">
        <f>+'2. COEFICIENTES'!Q16*'2. COEFICIENTES'!Q$21*'3. PREÇOS INSUMOS'!R$13*'1. DADOS OPERACIONAIS'!Q39</f>
        <v>0</v>
      </c>
      <c r="R25" s="103">
        <f>+'2. COEFICIENTES'!R16*'2. COEFICIENTES'!R$21*'3. PREÇOS INSUMOS'!S$13*'1. DADOS OPERACIONAIS'!R39</f>
        <v>0</v>
      </c>
      <c r="S25" s="103">
        <f>+'2. COEFICIENTES'!S16*'2. COEFICIENTES'!S$21*'3. PREÇOS INSUMOS'!T$13*'1. DADOS OPERACIONAIS'!S39</f>
        <v>0</v>
      </c>
      <c r="T25" s="104">
        <f>+'2. COEFICIENTES'!T16*'2. COEFICIENTES'!T$21*'3. PREÇOS INSUMOS'!U$13*'1. DADOS OPERACIONAIS'!T39</f>
        <v>0</v>
      </c>
    </row>
    <row r="26" spans="1:21">
      <c r="D26" s="231" t="s">
        <v>72</v>
      </c>
      <c r="E26" s="233" t="str">
        <f>+E25</f>
        <v>(R$/mês)</v>
      </c>
      <c r="F26" s="232">
        <f t="shared" ref="F26:T26" si="4">SUM(F23:F25)</f>
        <v>1025.2336542483542</v>
      </c>
      <c r="G26" s="101">
        <f t="shared" si="4"/>
        <v>1025.2336542483542</v>
      </c>
      <c r="H26" s="101">
        <f t="shared" si="4"/>
        <v>1025.2336542483542</v>
      </c>
      <c r="I26" s="101">
        <f t="shared" si="4"/>
        <v>1025.2336542483542</v>
      </c>
      <c r="J26" s="101">
        <f t="shared" si="4"/>
        <v>1025.2336542483542</v>
      </c>
      <c r="K26" s="101">
        <f t="shared" si="4"/>
        <v>1025.2336542483542</v>
      </c>
      <c r="L26" s="101">
        <f t="shared" si="4"/>
        <v>1025.2336542483542</v>
      </c>
      <c r="M26" s="101">
        <f t="shared" si="4"/>
        <v>1025.2336542483542</v>
      </c>
      <c r="N26" s="101">
        <f t="shared" si="4"/>
        <v>1025.2336542483542</v>
      </c>
      <c r="O26" s="101">
        <f t="shared" si="4"/>
        <v>1025.2336542483542</v>
      </c>
      <c r="P26" s="101">
        <f t="shared" si="4"/>
        <v>1025.2336542483542</v>
      </c>
      <c r="Q26" s="101">
        <f t="shared" si="4"/>
        <v>1025.2336542483542</v>
      </c>
      <c r="R26" s="101">
        <f t="shared" si="4"/>
        <v>1025.2336542483542</v>
      </c>
      <c r="S26" s="101">
        <f t="shared" si="4"/>
        <v>1025.2336542483542</v>
      </c>
      <c r="T26" s="102">
        <f t="shared" si="4"/>
        <v>1025.2336542483542</v>
      </c>
    </row>
    <row r="27" spans="1:21" ht="13.5" thickBot="1">
      <c r="D27" s="220" t="s">
        <v>72</v>
      </c>
      <c r="E27" s="230" t="s">
        <v>167</v>
      </c>
      <c r="F27" s="224">
        <f t="shared" ref="F27:T27" si="5">+F26*12</f>
        <v>12302.80385098025</v>
      </c>
      <c r="G27" s="212">
        <f t="shared" si="5"/>
        <v>12302.80385098025</v>
      </c>
      <c r="H27" s="212">
        <f t="shared" si="5"/>
        <v>12302.80385098025</v>
      </c>
      <c r="I27" s="212">
        <f t="shared" si="5"/>
        <v>12302.80385098025</v>
      </c>
      <c r="J27" s="212">
        <f t="shared" si="5"/>
        <v>12302.80385098025</v>
      </c>
      <c r="K27" s="212">
        <f t="shared" si="5"/>
        <v>12302.80385098025</v>
      </c>
      <c r="L27" s="212">
        <f t="shared" si="5"/>
        <v>12302.80385098025</v>
      </c>
      <c r="M27" s="212">
        <f t="shared" si="5"/>
        <v>12302.80385098025</v>
      </c>
      <c r="N27" s="212">
        <f t="shared" si="5"/>
        <v>12302.80385098025</v>
      </c>
      <c r="O27" s="212">
        <f t="shared" si="5"/>
        <v>12302.80385098025</v>
      </c>
      <c r="P27" s="212">
        <f t="shared" si="5"/>
        <v>12302.80385098025</v>
      </c>
      <c r="Q27" s="212">
        <f t="shared" si="5"/>
        <v>12302.80385098025</v>
      </c>
      <c r="R27" s="212">
        <f t="shared" si="5"/>
        <v>12302.80385098025</v>
      </c>
      <c r="S27" s="212">
        <f t="shared" si="5"/>
        <v>12302.80385098025</v>
      </c>
      <c r="T27" s="213">
        <f t="shared" si="5"/>
        <v>12302.80385098025</v>
      </c>
    </row>
    <row r="28" spans="1:21">
      <c r="D28" s="71"/>
      <c r="E28" s="72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</row>
    <row r="29" spans="1:21">
      <c r="D29" s="71"/>
      <c r="E29" s="72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</row>
    <row r="30" spans="1:21" ht="15.75">
      <c r="C30" s="381" t="str">
        <f>+MENU!$C$67</f>
        <v>4.2. - CÁLCULO DOS CUSTEIOS COM LUBRIFICANTES</v>
      </c>
    </row>
    <row r="31" spans="1:21" ht="13.5" thickBot="1">
      <c r="C31" s="4"/>
    </row>
    <row r="32" spans="1:21" ht="18" customHeight="1">
      <c r="C32" s="707" t="s">
        <v>28</v>
      </c>
      <c r="D32" s="707"/>
      <c r="E32" s="582" t="s">
        <v>6</v>
      </c>
      <c r="F32" s="583">
        <v>1</v>
      </c>
      <c r="G32" s="584">
        <f t="shared" ref="G32:T32" si="6">+F32+1</f>
        <v>2</v>
      </c>
      <c r="H32" s="584">
        <f t="shared" si="6"/>
        <v>3</v>
      </c>
      <c r="I32" s="584">
        <f t="shared" si="6"/>
        <v>4</v>
      </c>
      <c r="J32" s="584">
        <f t="shared" si="6"/>
        <v>5</v>
      </c>
      <c r="K32" s="584">
        <f t="shared" si="6"/>
        <v>6</v>
      </c>
      <c r="L32" s="584">
        <f t="shared" si="6"/>
        <v>7</v>
      </c>
      <c r="M32" s="584">
        <f t="shared" si="6"/>
        <v>8</v>
      </c>
      <c r="N32" s="584">
        <f t="shared" si="6"/>
        <v>9</v>
      </c>
      <c r="O32" s="584">
        <f t="shared" si="6"/>
        <v>10</v>
      </c>
      <c r="P32" s="584">
        <f t="shared" si="6"/>
        <v>11</v>
      </c>
      <c r="Q32" s="584">
        <f t="shared" si="6"/>
        <v>12</v>
      </c>
      <c r="R32" s="584">
        <f t="shared" si="6"/>
        <v>13</v>
      </c>
      <c r="S32" s="584">
        <f t="shared" si="6"/>
        <v>14</v>
      </c>
      <c r="T32" s="585">
        <f t="shared" si="6"/>
        <v>15</v>
      </c>
    </row>
    <row r="33" spans="1:20">
      <c r="A33" s="2">
        <v>1</v>
      </c>
      <c r="D33" s="216" t="str">
        <f>VLOOKUP(A33,TIPOLOGIA!$D$10:$E$12,2,0)</f>
        <v>MICROÔNIBUS</v>
      </c>
      <c r="E33" s="225" t="s">
        <v>70</v>
      </c>
      <c r="F33" s="222">
        <f>+'3. PREÇOS INSUMOS'!G$19*'1. DADOS OPERACIONAIS'!F37</f>
        <v>2984.2613984520417</v>
      </c>
      <c r="G33" s="69">
        <f>+'3. PREÇOS INSUMOS'!H$19*'1. DADOS OPERACIONAIS'!G37</f>
        <v>2984.2613984520417</v>
      </c>
      <c r="H33" s="69">
        <f>+'3. PREÇOS INSUMOS'!I$19*'1. DADOS OPERACIONAIS'!H37</f>
        <v>2984.2613984520417</v>
      </c>
      <c r="I33" s="69">
        <f>+'3. PREÇOS INSUMOS'!J$19*'1. DADOS OPERACIONAIS'!I37</f>
        <v>2984.2613984520417</v>
      </c>
      <c r="J33" s="69">
        <f>+'3. PREÇOS INSUMOS'!K$19*'1. DADOS OPERACIONAIS'!J37</f>
        <v>2984.2613984520417</v>
      </c>
      <c r="K33" s="69">
        <f>+'3. PREÇOS INSUMOS'!L$19*'1. DADOS OPERACIONAIS'!K37</f>
        <v>2984.2613984520417</v>
      </c>
      <c r="L33" s="69">
        <f>+'3. PREÇOS INSUMOS'!M$19*'1. DADOS OPERACIONAIS'!L37</f>
        <v>2984.2613984520417</v>
      </c>
      <c r="M33" s="69">
        <f>+'3. PREÇOS INSUMOS'!N$19*'1. DADOS OPERACIONAIS'!M37</f>
        <v>2984.2613984520417</v>
      </c>
      <c r="N33" s="69">
        <f>+'3. PREÇOS INSUMOS'!O$19*'1. DADOS OPERACIONAIS'!N37</f>
        <v>2984.2613984520417</v>
      </c>
      <c r="O33" s="69">
        <f>+'3. PREÇOS INSUMOS'!P$19*'1. DADOS OPERACIONAIS'!O37</f>
        <v>2984.2613984520417</v>
      </c>
      <c r="P33" s="69">
        <f>+'3. PREÇOS INSUMOS'!Q$19*'1. DADOS OPERACIONAIS'!P37</f>
        <v>2984.2613984520417</v>
      </c>
      <c r="Q33" s="69">
        <f>+'3. PREÇOS INSUMOS'!R$19*'1. DADOS OPERACIONAIS'!Q37</f>
        <v>2984.2613984520417</v>
      </c>
      <c r="R33" s="69">
        <f>+'3. PREÇOS INSUMOS'!S$19*'1. DADOS OPERACIONAIS'!R37</f>
        <v>2984.2613984520417</v>
      </c>
      <c r="S33" s="69">
        <f>+'3. PREÇOS INSUMOS'!T$19*'1. DADOS OPERACIONAIS'!S37</f>
        <v>2984.2613984520417</v>
      </c>
      <c r="T33" s="70">
        <f>+'3. PREÇOS INSUMOS'!U$19*'1. DADOS OPERACIONAIS'!T37</f>
        <v>2984.2613984520417</v>
      </c>
    </row>
    <row r="34" spans="1:20">
      <c r="A34" s="2">
        <v>2</v>
      </c>
      <c r="D34" s="217" t="str">
        <f>VLOOKUP(A34,TIPOLOGIA!$D$10:$E$12,2,0)</f>
        <v>CONVENCIONAL</v>
      </c>
      <c r="E34" s="226" t="str">
        <f>+E33</f>
        <v>(R$/mês)</v>
      </c>
      <c r="F34" s="222">
        <f>+'3. PREÇOS INSUMOS'!G$19*'1. DADOS OPERACIONAIS'!F38</f>
        <v>5968.5227969040834</v>
      </c>
      <c r="G34" s="94">
        <f>+'3. PREÇOS INSUMOS'!H$19*'1. DADOS OPERACIONAIS'!G38</f>
        <v>5968.5227969040834</v>
      </c>
      <c r="H34" s="94">
        <f>+'3. PREÇOS INSUMOS'!I$19*'1. DADOS OPERACIONAIS'!H38</f>
        <v>5968.5227969040834</v>
      </c>
      <c r="I34" s="94">
        <f>+'3. PREÇOS INSUMOS'!J$19*'1. DADOS OPERACIONAIS'!I38</f>
        <v>5968.5227969040834</v>
      </c>
      <c r="J34" s="94">
        <f>+'3. PREÇOS INSUMOS'!K$19*'1. DADOS OPERACIONAIS'!J38</f>
        <v>5968.5227969040834</v>
      </c>
      <c r="K34" s="94">
        <f>+'3. PREÇOS INSUMOS'!L$19*'1. DADOS OPERACIONAIS'!K38</f>
        <v>5968.5227969040834</v>
      </c>
      <c r="L34" s="94">
        <f>+'3. PREÇOS INSUMOS'!M$19*'1. DADOS OPERACIONAIS'!L38</f>
        <v>5968.5227969040834</v>
      </c>
      <c r="M34" s="94">
        <f>+'3. PREÇOS INSUMOS'!N$19*'1. DADOS OPERACIONAIS'!M38</f>
        <v>5968.5227969040834</v>
      </c>
      <c r="N34" s="94">
        <f>+'3. PREÇOS INSUMOS'!O$19*'1. DADOS OPERACIONAIS'!N38</f>
        <v>5968.5227969040834</v>
      </c>
      <c r="O34" s="94">
        <f>+'3. PREÇOS INSUMOS'!P$19*'1. DADOS OPERACIONAIS'!O38</f>
        <v>5968.5227969040834</v>
      </c>
      <c r="P34" s="94">
        <f>+'3. PREÇOS INSUMOS'!Q$19*'1. DADOS OPERACIONAIS'!P38</f>
        <v>5968.5227969040834</v>
      </c>
      <c r="Q34" s="94">
        <f>+'3. PREÇOS INSUMOS'!R$19*'1. DADOS OPERACIONAIS'!Q38</f>
        <v>5968.5227969040834</v>
      </c>
      <c r="R34" s="94">
        <f>+'3. PREÇOS INSUMOS'!S$19*'1. DADOS OPERACIONAIS'!R38</f>
        <v>5968.5227969040834</v>
      </c>
      <c r="S34" s="94">
        <f>+'3. PREÇOS INSUMOS'!T$19*'1. DADOS OPERACIONAIS'!S38</f>
        <v>5968.5227969040834</v>
      </c>
      <c r="T34" s="95">
        <f>+'3. PREÇOS INSUMOS'!U$19*'1. DADOS OPERACIONAIS'!T38</f>
        <v>5968.5227969040834</v>
      </c>
    </row>
    <row r="35" spans="1:20" ht="13.5" thickBot="1">
      <c r="A35" s="2">
        <v>3</v>
      </c>
      <c r="D35" s="218" t="str">
        <f>VLOOKUP(A35,TIPOLOGIA!$D$10:$E$12,2,0)</f>
        <v>-</v>
      </c>
      <c r="E35" s="228" t="str">
        <f>+E34</f>
        <v>(R$/mês)</v>
      </c>
      <c r="F35" s="137">
        <f>+'3. PREÇOS INSUMOS'!G$19*'1. DADOS OPERACIONAIS'!F39</f>
        <v>0</v>
      </c>
      <c r="G35" s="103">
        <f>+'3. PREÇOS INSUMOS'!H$19*'1. DADOS OPERACIONAIS'!G39</f>
        <v>0</v>
      </c>
      <c r="H35" s="103">
        <f>+'3. PREÇOS INSUMOS'!I$19*'1. DADOS OPERACIONAIS'!H39</f>
        <v>0</v>
      </c>
      <c r="I35" s="103">
        <f>+'3. PREÇOS INSUMOS'!J$19*'1. DADOS OPERACIONAIS'!I39</f>
        <v>0</v>
      </c>
      <c r="J35" s="103">
        <f>+'3. PREÇOS INSUMOS'!K$19*'1. DADOS OPERACIONAIS'!J39</f>
        <v>0</v>
      </c>
      <c r="K35" s="103">
        <f>+'3. PREÇOS INSUMOS'!L$19*'1. DADOS OPERACIONAIS'!K39</f>
        <v>0</v>
      </c>
      <c r="L35" s="103">
        <f>+'3. PREÇOS INSUMOS'!M$19*'1. DADOS OPERACIONAIS'!L39</f>
        <v>0</v>
      </c>
      <c r="M35" s="103">
        <f>+'3. PREÇOS INSUMOS'!N$19*'1. DADOS OPERACIONAIS'!M39</f>
        <v>0</v>
      </c>
      <c r="N35" s="103">
        <f>+'3. PREÇOS INSUMOS'!O$19*'1. DADOS OPERACIONAIS'!N39</f>
        <v>0</v>
      </c>
      <c r="O35" s="103">
        <f>+'3. PREÇOS INSUMOS'!P$19*'1. DADOS OPERACIONAIS'!O39</f>
        <v>0</v>
      </c>
      <c r="P35" s="103">
        <f>+'3. PREÇOS INSUMOS'!Q$19*'1. DADOS OPERACIONAIS'!P39</f>
        <v>0</v>
      </c>
      <c r="Q35" s="103">
        <f>+'3. PREÇOS INSUMOS'!R$19*'1. DADOS OPERACIONAIS'!Q39</f>
        <v>0</v>
      </c>
      <c r="R35" s="103">
        <f>+'3. PREÇOS INSUMOS'!S$19*'1. DADOS OPERACIONAIS'!R39</f>
        <v>0</v>
      </c>
      <c r="S35" s="103">
        <f>+'3. PREÇOS INSUMOS'!T$19*'1. DADOS OPERACIONAIS'!S39</f>
        <v>0</v>
      </c>
      <c r="T35" s="104">
        <f>+'3. PREÇOS INSUMOS'!U$19*'1. DADOS OPERACIONAIS'!T39</f>
        <v>0</v>
      </c>
    </row>
    <row r="36" spans="1:20">
      <c r="D36" s="231" t="s">
        <v>78</v>
      </c>
      <c r="E36" s="233" t="str">
        <f>+E35</f>
        <v>(R$/mês)</v>
      </c>
      <c r="F36" s="232">
        <f t="shared" ref="F36:T36" si="7">SUM(F33:F35)</f>
        <v>8952.7841953561256</v>
      </c>
      <c r="G36" s="101">
        <f t="shared" si="7"/>
        <v>8952.7841953561256</v>
      </c>
      <c r="H36" s="101">
        <f t="shared" si="7"/>
        <v>8952.7841953561256</v>
      </c>
      <c r="I36" s="101">
        <f t="shared" si="7"/>
        <v>8952.7841953561256</v>
      </c>
      <c r="J36" s="101">
        <f t="shared" si="7"/>
        <v>8952.7841953561256</v>
      </c>
      <c r="K36" s="101">
        <f t="shared" si="7"/>
        <v>8952.7841953561256</v>
      </c>
      <c r="L36" s="101">
        <f t="shared" si="7"/>
        <v>8952.7841953561256</v>
      </c>
      <c r="M36" s="101">
        <f t="shared" si="7"/>
        <v>8952.7841953561256</v>
      </c>
      <c r="N36" s="101">
        <f t="shared" si="7"/>
        <v>8952.7841953561256</v>
      </c>
      <c r="O36" s="101">
        <f t="shared" si="7"/>
        <v>8952.7841953561256</v>
      </c>
      <c r="P36" s="101">
        <f t="shared" si="7"/>
        <v>8952.7841953561256</v>
      </c>
      <c r="Q36" s="101">
        <f t="shared" si="7"/>
        <v>8952.7841953561256</v>
      </c>
      <c r="R36" s="101">
        <f t="shared" si="7"/>
        <v>8952.7841953561256</v>
      </c>
      <c r="S36" s="101">
        <f t="shared" si="7"/>
        <v>8952.7841953561256</v>
      </c>
      <c r="T36" s="102">
        <f t="shared" si="7"/>
        <v>8952.7841953561256</v>
      </c>
    </row>
    <row r="37" spans="1:20" ht="13.5" thickBot="1">
      <c r="D37" s="220" t="s">
        <v>78</v>
      </c>
      <c r="E37" s="230" t="s">
        <v>167</v>
      </c>
      <c r="F37" s="224">
        <f t="shared" ref="F37:T37" si="8">+F36*12</f>
        <v>107433.41034427351</v>
      </c>
      <c r="G37" s="212">
        <f t="shared" si="8"/>
        <v>107433.41034427351</v>
      </c>
      <c r="H37" s="212">
        <f t="shared" si="8"/>
        <v>107433.41034427351</v>
      </c>
      <c r="I37" s="212">
        <f t="shared" si="8"/>
        <v>107433.41034427351</v>
      </c>
      <c r="J37" s="212">
        <f t="shared" si="8"/>
        <v>107433.41034427351</v>
      </c>
      <c r="K37" s="212">
        <f t="shared" si="8"/>
        <v>107433.41034427351</v>
      </c>
      <c r="L37" s="212">
        <f t="shared" si="8"/>
        <v>107433.41034427351</v>
      </c>
      <c r="M37" s="212">
        <f t="shared" si="8"/>
        <v>107433.41034427351</v>
      </c>
      <c r="N37" s="212">
        <f t="shared" si="8"/>
        <v>107433.41034427351</v>
      </c>
      <c r="O37" s="212">
        <f t="shared" si="8"/>
        <v>107433.41034427351</v>
      </c>
      <c r="P37" s="212">
        <f t="shared" si="8"/>
        <v>107433.41034427351</v>
      </c>
      <c r="Q37" s="212">
        <f t="shared" si="8"/>
        <v>107433.41034427351</v>
      </c>
      <c r="R37" s="212">
        <f t="shared" si="8"/>
        <v>107433.41034427351</v>
      </c>
      <c r="S37" s="212">
        <f t="shared" si="8"/>
        <v>107433.41034427351</v>
      </c>
      <c r="T37" s="213">
        <f t="shared" si="8"/>
        <v>107433.41034427351</v>
      </c>
    </row>
    <row r="38" spans="1:20">
      <c r="D38" s="71"/>
      <c r="E38" s="72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</row>
    <row r="40" spans="1:20" ht="15.75">
      <c r="C40" s="381" t="str">
        <f>+MENU!$C$68</f>
        <v>4.3. - CÁLCULO DOS CUSTEIOS COM RODAGEM</v>
      </c>
    </row>
    <row r="42" spans="1:20" ht="15.75">
      <c r="C42" s="381" t="str">
        <f>+MENU!$C$69</f>
        <v>4.3.1. - CUSTEIOS COM PNEU NOVO</v>
      </c>
    </row>
    <row r="43" spans="1:20" ht="13.5" thickBot="1">
      <c r="C43" s="4"/>
    </row>
    <row r="44" spans="1:20" ht="18" customHeight="1">
      <c r="C44" s="707" t="s">
        <v>73</v>
      </c>
      <c r="D44" s="707"/>
      <c r="E44" s="582" t="s">
        <v>6</v>
      </c>
      <c r="F44" s="583">
        <v>1</v>
      </c>
      <c r="G44" s="584">
        <f t="shared" ref="G44:T44" si="9">+F44+1</f>
        <v>2</v>
      </c>
      <c r="H44" s="584">
        <f t="shared" si="9"/>
        <v>3</v>
      </c>
      <c r="I44" s="584">
        <f t="shared" si="9"/>
        <v>4</v>
      </c>
      <c r="J44" s="584">
        <f t="shared" si="9"/>
        <v>5</v>
      </c>
      <c r="K44" s="584">
        <f t="shared" si="9"/>
        <v>6</v>
      </c>
      <c r="L44" s="584">
        <f t="shared" si="9"/>
        <v>7</v>
      </c>
      <c r="M44" s="584">
        <f t="shared" si="9"/>
        <v>8</v>
      </c>
      <c r="N44" s="584">
        <f t="shared" si="9"/>
        <v>9</v>
      </c>
      <c r="O44" s="584">
        <f t="shared" si="9"/>
        <v>10</v>
      </c>
      <c r="P44" s="584">
        <f t="shared" si="9"/>
        <v>11</v>
      </c>
      <c r="Q44" s="584">
        <f t="shared" si="9"/>
        <v>12</v>
      </c>
      <c r="R44" s="584">
        <f t="shared" si="9"/>
        <v>13</v>
      </c>
      <c r="S44" s="584">
        <f t="shared" si="9"/>
        <v>14</v>
      </c>
      <c r="T44" s="585">
        <f t="shared" si="9"/>
        <v>15</v>
      </c>
    </row>
    <row r="45" spans="1:20">
      <c r="A45" s="2">
        <v>1</v>
      </c>
      <c r="D45" s="216" t="str">
        <f>VLOOKUP(A45,TIPOLOGIA!$D$10:$E$12,2,0)</f>
        <v>MICROÔNIBUS</v>
      </c>
      <c r="E45" s="225" t="s">
        <v>70</v>
      </c>
      <c r="F45" s="222">
        <f>IFERROR(('2. COEFICIENTES'!F42*'3. PREÇOS INSUMOS'!G$27*'1. DADOS OPERACIONAIS'!F37)/'2. COEFICIENTES'!F35,0)</f>
        <v>486.80845682160265</v>
      </c>
      <c r="G45" s="69">
        <f>IFERROR(('2. COEFICIENTES'!G42*'3. PREÇOS INSUMOS'!H$27*'1. DADOS OPERACIONAIS'!G37)/'2. COEFICIENTES'!G35,0)</f>
        <v>486.80845682160265</v>
      </c>
      <c r="H45" s="69">
        <f>IFERROR(('2. COEFICIENTES'!H42*'3. PREÇOS INSUMOS'!I$27*'1. DADOS OPERACIONAIS'!H37)/'2. COEFICIENTES'!H35,0)</f>
        <v>486.80845682160265</v>
      </c>
      <c r="I45" s="69">
        <f>IFERROR(('2. COEFICIENTES'!I42*'3. PREÇOS INSUMOS'!J$27*'1. DADOS OPERACIONAIS'!I37)/'2. COEFICIENTES'!I35,0)</f>
        <v>486.80845682160265</v>
      </c>
      <c r="J45" s="69">
        <f>IFERROR(('2. COEFICIENTES'!J42*'3. PREÇOS INSUMOS'!K$27*'1. DADOS OPERACIONAIS'!J37)/'2. COEFICIENTES'!J35,0)</f>
        <v>486.80845682160265</v>
      </c>
      <c r="K45" s="69">
        <f>IFERROR(('2. COEFICIENTES'!K42*'3. PREÇOS INSUMOS'!L$27*'1. DADOS OPERACIONAIS'!K37)/'2. COEFICIENTES'!K35,0)</f>
        <v>486.80845682160265</v>
      </c>
      <c r="L45" s="69">
        <f>IFERROR(('2. COEFICIENTES'!L42*'3. PREÇOS INSUMOS'!M$27*'1. DADOS OPERACIONAIS'!L37)/'2. COEFICIENTES'!L35,0)</f>
        <v>486.80845682160265</v>
      </c>
      <c r="M45" s="69">
        <f>IFERROR(('2. COEFICIENTES'!M42*'3. PREÇOS INSUMOS'!N$27*'1. DADOS OPERACIONAIS'!M37)/'2. COEFICIENTES'!M35,0)</f>
        <v>486.80845682160265</v>
      </c>
      <c r="N45" s="69">
        <f>IFERROR(('2. COEFICIENTES'!N42*'3. PREÇOS INSUMOS'!O$27*'1. DADOS OPERACIONAIS'!N37)/'2. COEFICIENTES'!N35,0)</f>
        <v>486.80845682160265</v>
      </c>
      <c r="O45" s="69">
        <f>IFERROR(('2. COEFICIENTES'!O42*'3. PREÇOS INSUMOS'!P$27*'1. DADOS OPERACIONAIS'!O37)/'2. COEFICIENTES'!O35,0)</f>
        <v>486.80845682160265</v>
      </c>
      <c r="P45" s="69">
        <f>IFERROR(('2. COEFICIENTES'!P42*'3. PREÇOS INSUMOS'!Q$27*'1. DADOS OPERACIONAIS'!P37)/'2. COEFICIENTES'!P35,0)</f>
        <v>486.80845682160265</v>
      </c>
      <c r="Q45" s="69">
        <f>IFERROR(('2. COEFICIENTES'!Q42*'3. PREÇOS INSUMOS'!R$27*'1. DADOS OPERACIONAIS'!Q37)/'2. COEFICIENTES'!Q35,0)</f>
        <v>486.80845682160265</v>
      </c>
      <c r="R45" s="69">
        <f>IFERROR(('2. COEFICIENTES'!R42*'3. PREÇOS INSUMOS'!S$27*'1. DADOS OPERACIONAIS'!R37)/'2. COEFICIENTES'!R35,0)</f>
        <v>486.80845682160265</v>
      </c>
      <c r="S45" s="69">
        <f>IFERROR(('2. COEFICIENTES'!S42*'3. PREÇOS INSUMOS'!T$27*'1. DADOS OPERACIONAIS'!S37)/'2. COEFICIENTES'!S35,0)</f>
        <v>486.80845682160265</v>
      </c>
      <c r="T45" s="98">
        <f>IFERROR(('2. COEFICIENTES'!T42*'3. PREÇOS INSUMOS'!U$27*'1. DADOS OPERACIONAIS'!T37)/'2. COEFICIENTES'!T35,0)</f>
        <v>486.80845682160265</v>
      </c>
    </row>
    <row r="46" spans="1:20">
      <c r="A46" s="2">
        <v>2</v>
      </c>
      <c r="D46" s="217" t="str">
        <f>VLOOKUP(A46,TIPOLOGIA!$D$10:$E$12,2,0)</f>
        <v>CONVENCIONAL</v>
      </c>
      <c r="E46" s="226" t="str">
        <f>+E45</f>
        <v>(R$/mês)</v>
      </c>
      <c r="F46" s="222">
        <f>IFERROR(('2. COEFICIENTES'!F43*'3. PREÇOS INSUMOS'!G$27*'1. DADOS OPERACIONAIS'!F38)/'2. COEFICIENTES'!F36,0)</f>
        <v>1460.4253704648081</v>
      </c>
      <c r="G46" s="69">
        <f>IFERROR(('2. COEFICIENTES'!G43*'3. PREÇOS INSUMOS'!H$27*'1. DADOS OPERACIONAIS'!G38)/'2. COEFICIENTES'!G36,0)</f>
        <v>1460.4253704648081</v>
      </c>
      <c r="H46" s="69">
        <f>IFERROR(('2. COEFICIENTES'!H43*'3. PREÇOS INSUMOS'!I$27*'1. DADOS OPERACIONAIS'!H38)/'2. COEFICIENTES'!H36,0)</f>
        <v>1460.4253704648081</v>
      </c>
      <c r="I46" s="69">
        <f>IFERROR(('2. COEFICIENTES'!I43*'3. PREÇOS INSUMOS'!J$27*'1. DADOS OPERACIONAIS'!I38)/'2. COEFICIENTES'!I36,0)</f>
        <v>1460.4253704648081</v>
      </c>
      <c r="J46" s="69">
        <f>IFERROR(('2. COEFICIENTES'!J43*'3. PREÇOS INSUMOS'!K$27*'1. DADOS OPERACIONAIS'!J38)/'2. COEFICIENTES'!J36,0)</f>
        <v>1460.4253704648081</v>
      </c>
      <c r="K46" s="69">
        <f>IFERROR(('2. COEFICIENTES'!K43*'3. PREÇOS INSUMOS'!L$27*'1. DADOS OPERACIONAIS'!K38)/'2. COEFICIENTES'!K36,0)</f>
        <v>1460.4253704648081</v>
      </c>
      <c r="L46" s="69">
        <f>IFERROR(('2. COEFICIENTES'!L43*'3. PREÇOS INSUMOS'!M$27*'1. DADOS OPERACIONAIS'!L38)/'2. COEFICIENTES'!L36,0)</f>
        <v>1460.4253704648081</v>
      </c>
      <c r="M46" s="69">
        <f>IFERROR(('2. COEFICIENTES'!M43*'3. PREÇOS INSUMOS'!N$27*'1. DADOS OPERACIONAIS'!M38)/'2. COEFICIENTES'!M36,0)</f>
        <v>1460.4253704648081</v>
      </c>
      <c r="N46" s="69">
        <f>IFERROR(('2. COEFICIENTES'!N43*'3. PREÇOS INSUMOS'!O$27*'1. DADOS OPERACIONAIS'!N38)/'2. COEFICIENTES'!N36,0)</f>
        <v>1460.4253704648081</v>
      </c>
      <c r="O46" s="69">
        <f>IFERROR(('2. COEFICIENTES'!O43*'3. PREÇOS INSUMOS'!P$27*'1. DADOS OPERACIONAIS'!O38)/'2. COEFICIENTES'!O36,0)</f>
        <v>1460.4253704648081</v>
      </c>
      <c r="P46" s="69">
        <f>IFERROR(('2. COEFICIENTES'!P43*'3. PREÇOS INSUMOS'!Q$27*'1. DADOS OPERACIONAIS'!P38)/'2. COEFICIENTES'!P36,0)</f>
        <v>1460.4253704648081</v>
      </c>
      <c r="Q46" s="69">
        <f>IFERROR(('2. COEFICIENTES'!Q43*'3. PREÇOS INSUMOS'!R$27*'1. DADOS OPERACIONAIS'!Q38)/'2. COEFICIENTES'!Q36,0)</f>
        <v>1460.4253704648081</v>
      </c>
      <c r="R46" s="69">
        <f>IFERROR(('2. COEFICIENTES'!R43*'3. PREÇOS INSUMOS'!S$27*'1. DADOS OPERACIONAIS'!R38)/'2. COEFICIENTES'!R36,0)</f>
        <v>1460.4253704648081</v>
      </c>
      <c r="S46" s="69">
        <f>IFERROR(('2. COEFICIENTES'!S43*'3. PREÇOS INSUMOS'!T$27*'1. DADOS OPERACIONAIS'!S38)/'2. COEFICIENTES'!S36,0)</f>
        <v>1460.4253704648081</v>
      </c>
      <c r="T46" s="70">
        <f>IFERROR(('2. COEFICIENTES'!T43*'3. PREÇOS INSUMOS'!U$27*'1. DADOS OPERACIONAIS'!T38)/'2. COEFICIENTES'!T36,0)</f>
        <v>1460.4253704648081</v>
      </c>
    </row>
    <row r="47" spans="1:20" ht="13.5" thickBot="1">
      <c r="A47" s="2">
        <v>3</v>
      </c>
      <c r="D47" s="218" t="str">
        <f>VLOOKUP(A47,TIPOLOGIA!$D$10:$E$12,2,0)</f>
        <v>-</v>
      </c>
      <c r="E47" s="228" t="str">
        <f>+E46</f>
        <v>(R$/mês)</v>
      </c>
      <c r="F47" s="137">
        <f>IFERROR(('2. COEFICIENTES'!F44*'3. PREÇOS INSUMOS'!G$27*'1. DADOS OPERACIONAIS'!F39)/'2. COEFICIENTES'!F37,0)</f>
        <v>0</v>
      </c>
      <c r="G47" s="99">
        <f>IFERROR(('2. COEFICIENTES'!G44*'3. PREÇOS INSUMOS'!H$27*'1. DADOS OPERACIONAIS'!G39)/'2. COEFICIENTES'!G37,0)</f>
        <v>0</v>
      </c>
      <c r="H47" s="99">
        <f>IFERROR(('2. COEFICIENTES'!H44*'3. PREÇOS INSUMOS'!I$27*'1. DADOS OPERACIONAIS'!H39)/'2. COEFICIENTES'!H37,0)</f>
        <v>0</v>
      </c>
      <c r="I47" s="99">
        <f>IFERROR(('2. COEFICIENTES'!I44*'3. PREÇOS INSUMOS'!J$27*'1. DADOS OPERACIONAIS'!I39)/'2. COEFICIENTES'!I37,0)</f>
        <v>0</v>
      </c>
      <c r="J47" s="99">
        <f>IFERROR(('2. COEFICIENTES'!J44*'3. PREÇOS INSUMOS'!K$27*'1. DADOS OPERACIONAIS'!J39)/'2. COEFICIENTES'!J37,0)</f>
        <v>0</v>
      </c>
      <c r="K47" s="99">
        <f>IFERROR(('2. COEFICIENTES'!K44*'3. PREÇOS INSUMOS'!L$27*'1. DADOS OPERACIONAIS'!K39)/'2. COEFICIENTES'!K37,0)</f>
        <v>0</v>
      </c>
      <c r="L47" s="99">
        <f>IFERROR(('2. COEFICIENTES'!L44*'3. PREÇOS INSUMOS'!M$27*'1. DADOS OPERACIONAIS'!L39)/'2. COEFICIENTES'!L37,0)</f>
        <v>0</v>
      </c>
      <c r="M47" s="99">
        <f>IFERROR(('2. COEFICIENTES'!M44*'3. PREÇOS INSUMOS'!N$27*'1. DADOS OPERACIONAIS'!M39)/'2. COEFICIENTES'!M37,0)</f>
        <v>0</v>
      </c>
      <c r="N47" s="99">
        <f>IFERROR(('2. COEFICIENTES'!N44*'3. PREÇOS INSUMOS'!O$27*'1. DADOS OPERACIONAIS'!N39)/'2. COEFICIENTES'!N37,0)</f>
        <v>0</v>
      </c>
      <c r="O47" s="99">
        <f>IFERROR(('2. COEFICIENTES'!O44*'3. PREÇOS INSUMOS'!P$27*'1. DADOS OPERACIONAIS'!O39)/'2. COEFICIENTES'!O37,0)</f>
        <v>0</v>
      </c>
      <c r="P47" s="99">
        <f>IFERROR(('2. COEFICIENTES'!P44*'3. PREÇOS INSUMOS'!Q$27*'1. DADOS OPERACIONAIS'!P39)/'2. COEFICIENTES'!P37,0)</f>
        <v>0</v>
      </c>
      <c r="Q47" s="99">
        <f>IFERROR(('2. COEFICIENTES'!Q44*'3. PREÇOS INSUMOS'!R$27*'1. DADOS OPERACIONAIS'!Q39)/'2. COEFICIENTES'!Q37,0)</f>
        <v>0</v>
      </c>
      <c r="R47" s="99">
        <f>IFERROR(('2. COEFICIENTES'!R44*'3. PREÇOS INSUMOS'!S$27*'1. DADOS OPERACIONAIS'!R39)/'2. COEFICIENTES'!R37,0)</f>
        <v>0</v>
      </c>
      <c r="S47" s="99">
        <f>IFERROR(('2. COEFICIENTES'!S44*'3. PREÇOS INSUMOS'!T$27*'1. DADOS OPERACIONAIS'!S39)/'2. COEFICIENTES'!S37,0)</f>
        <v>0</v>
      </c>
      <c r="T47" s="100">
        <f>IFERROR(('2. COEFICIENTES'!T44*'3. PREÇOS INSUMOS'!U$27*'1. DADOS OPERACIONAIS'!T39)/'2. COEFICIENTES'!T37,0)</f>
        <v>0</v>
      </c>
    </row>
    <row r="48" spans="1:20">
      <c r="D48" s="231" t="s">
        <v>77</v>
      </c>
      <c r="E48" s="233" t="str">
        <f>+E47</f>
        <v>(R$/mês)</v>
      </c>
      <c r="F48" s="232">
        <f t="shared" ref="F48:T48" si="10">SUM(F45:F47)</f>
        <v>1947.2338272864108</v>
      </c>
      <c r="G48" s="101">
        <f t="shared" si="10"/>
        <v>1947.2338272864108</v>
      </c>
      <c r="H48" s="101">
        <f t="shared" si="10"/>
        <v>1947.2338272864108</v>
      </c>
      <c r="I48" s="101">
        <f t="shared" si="10"/>
        <v>1947.2338272864108</v>
      </c>
      <c r="J48" s="101">
        <f t="shared" si="10"/>
        <v>1947.2338272864108</v>
      </c>
      <c r="K48" s="101">
        <f t="shared" si="10"/>
        <v>1947.2338272864108</v>
      </c>
      <c r="L48" s="101">
        <f t="shared" si="10"/>
        <v>1947.2338272864108</v>
      </c>
      <c r="M48" s="101">
        <f t="shared" si="10"/>
        <v>1947.2338272864108</v>
      </c>
      <c r="N48" s="101">
        <f t="shared" si="10"/>
        <v>1947.2338272864108</v>
      </c>
      <c r="O48" s="101">
        <f t="shared" si="10"/>
        <v>1947.2338272864108</v>
      </c>
      <c r="P48" s="101">
        <f t="shared" si="10"/>
        <v>1947.2338272864108</v>
      </c>
      <c r="Q48" s="101">
        <f t="shared" si="10"/>
        <v>1947.2338272864108</v>
      </c>
      <c r="R48" s="101">
        <f t="shared" si="10"/>
        <v>1947.2338272864108</v>
      </c>
      <c r="S48" s="101">
        <f t="shared" si="10"/>
        <v>1947.2338272864108</v>
      </c>
      <c r="T48" s="102">
        <f t="shared" si="10"/>
        <v>1947.2338272864108</v>
      </c>
    </row>
    <row r="49" spans="1:23" ht="13.5" thickBot="1">
      <c r="D49" s="220" t="s">
        <v>77</v>
      </c>
      <c r="E49" s="230" t="s">
        <v>167</v>
      </c>
      <c r="F49" s="224">
        <f t="shared" ref="F49:T49" si="11">+F48*12</f>
        <v>23366.80592743693</v>
      </c>
      <c r="G49" s="212">
        <f t="shared" si="11"/>
        <v>23366.80592743693</v>
      </c>
      <c r="H49" s="212">
        <f t="shared" si="11"/>
        <v>23366.80592743693</v>
      </c>
      <c r="I49" s="212">
        <f t="shared" si="11"/>
        <v>23366.80592743693</v>
      </c>
      <c r="J49" s="212">
        <f t="shared" si="11"/>
        <v>23366.80592743693</v>
      </c>
      <c r="K49" s="212">
        <f t="shared" si="11"/>
        <v>23366.80592743693</v>
      </c>
      <c r="L49" s="212">
        <f t="shared" si="11"/>
        <v>23366.80592743693</v>
      </c>
      <c r="M49" s="212">
        <f t="shared" si="11"/>
        <v>23366.80592743693</v>
      </c>
      <c r="N49" s="212">
        <f t="shared" si="11"/>
        <v>23366.80592743693</v>
      </c>
      <c r="O49" s="212">
        <f t="shared" si="11"/>
        <v>23366.80592743693</v>
      </c>
      <c r="P49" s="212">
        <f t="shared" si="11"/>
        <v>23366.80592743693</v>
      </c>
      <c r="Q49" s="212">
        <f t="shared" si="11"/>
        <v>23366.80592743693</v>
      </c>
      <c r="R49" s="212">
        <f t="shared" si="11"/>
        <v>23366.80592743693</v>
      </c>
      <c r="S49" s="212">
        <f t="shared" si="11"/>
        <v>23366.80592743693</v>
      </c>
      <c r="T49" s="213">
        <f t="shared" si="11"/>
        <v>23366.80592743693</v>
      </c>
    </row>
    <row r="51" spans="1:23" ht="15.75">
      <c r="C51" s="381" t="str">
        <f>+MENU!$C$70</f>
        <v>4.3.2. - CUSTEIOS COM RECAPAGEM</v>
      </c>
    </row>
    <row r="52" spans="1:23" ht="13.5" thickBot="1">
      <c r="C52" s="4"/>
    </row>
    <row r="53" spans="1:23" ht="18" customHeight="1">
      <c r="C53" s="707" t="s">
        <v>74</v>
      </c>
      <c r="D53" s="707"/>
      <c r="E53" s="582" t="s">
        <v>6</v>
      </c>
      <c r="F53" s="583">
        <v>1</v>
      </c>
      <c r="G53" s="584">
        <f t="shared" ref="G53:T53" si="12">+F53+1</f>
        <v>2</v>
      </c>
      <c r="H53" s="584">
        <f t="shared" si="12"/>
        <v>3</v>
      </c>
      <c r="I53" s="584">
        <f t="shared" si="12"/>
        <v>4</v>
      </c>
      <c r="J53" s="584">
        <f t="shared" si="12"/>
        <v>5</v>
      </c>
      <c r="K53" s="584">
        <f t="shared" si="12"/>
        <v>6</v>
      </c>
      <c r="L53" s="584">
        <f t="shared" si="12"/>
        <v>7</v>
      </c>
      <c r="M53" s="584">
        <f t="shared" si="12"/>
        <v>8</v>
      </c>
      <c r="N53" s="584">
        <f t="shared" si="12"/>
        <v>9</v>
      </c>
      <c r="O53" s="584">
        <f t="shared" si="12"/>
        <v>10</v>
      </c>
      <c r="P53" s="584">
        <f t="shared" si="12"/>
        <v>11</v>
      </c>
      <c r="Q53" s="584">
        <f t="shared" si="12"/>
        <v>12</v>
      </c>
      <c r="R53" s="584">
        <f t="shared" si="12"/>
        <v>13</v>
      </c>
      <c r="S53" s="584">
        <f t="shared" si="12"/>
        <v>14</v>
      </c>
      <c r="T53" s="585">
        <f t="shared" si="12"/>
        <v>15</v>
      </c>
    </row>
    <row r="54" spans="1:23">
      <c r="A54" s="2">
        <v>1</v>
      </c>
      <c r="D54" s="216" t="str">
        <f>VLOOKUP(A54,TIPOLOGIA!$D$10:$E$12,2,0)</f>
        <v>MICROÔNIBUS</v>
      </c>
      <c r="E54" s="225" t="s">
        <v>70</v>
      </c>
      <c r="F54" s="221">
        <f>IFERROR(('2. COEFICIENTES'!F42*'2. COEFICIENTES'!F49*'3. PREÇOS INSUMOS'!G$34*'1. DADOS OPERACIONAIS'!F37)/'2. COEFICIENTES'!F35,0)</f>
        <v>283.02817257069927</v>
      </c>
      <c r="G54" s="97">
        <f>IFERROR(('2. COEFICIENTES'!G42*'2. COEFICIENTES'!G49*'3. PREÇOS INSUMOS'!H$34*'1. DADOS OPERACIONAIS'!G37)/'2. COEFICIENTES'!G35,0)</f>
        <v>283.02817257069927</v>
      </c>
      <c r="H54" s="97">
        <f>IFERROR(('2. COEFICIENTES'!H42*'2. COEFICIENTES'!H49*'3. PREÇOS INSUMOS'!I$34*'1. DADOS OPERACIONAIS'!H37)/'2. COEFICIENTES'!H35,0)</f>
        <v>283.02817257069927</v>
      </c>
      <c r="I54" s="97">
        <f>IFERROR(('2. COEFICIENTES'!I42*'2. COEFICIENTES'!I49*'3. PREÇOS INSUMOS'!J$34*'1. DADOS OPERACIONAIS'!I37)/'2. COEFICIENTES'!I35,0)</f>
        <v>283.02817257069927</v>
      </c>
      <c r="J54" s="97">
        <f>IFERROR(('2. COEFICIENTES'!J42*'2. COEFICIENTES'!J49*'3. PREÇOS INSUMOS'!K$34*'1. DADOS OPERACIONAIS'!J37)/'2. COEFICIENTES'!J35,0)</f>
        <v>283.02817257069927</v>
      </c>
      <c r="K54" s="97">
        <f>IFERROR(('2. COEFICIENTES'!K42*'2. COEFICIENTES'!K49*'3. PREÇOS INSUMOS'!L$34*'1. DADOS OPERACIONAIS'!K37)/'2. COEFICIENTES'!K35,0)</f>
        <v>283.02817257069927</v>
      </c>
      <c r="L54" s="97">
        <f>IFERROR(('2. COEFICIENTES'!L42*'2. COEFICIENTES'!L49*'3. PREÇOS INSUMOS'!M$34*'1. DADOS OPERACIONAIS'!L37)/'2. COEFICIENTES'!L35,0)</f>
        <v>283.02817257069927</v>
      </c>
      <c r="M54" s="97">
        <f>IFERROR(('2. COEFICIENTES'!M42*'2. COEFICIENTES'!M49*'3. PREÇOS INSUMOS'!N$34*'1. DADOS OPERACIONAIS'!M37)/'2. COEFICIENTES'!M35,0)</f>
        <v>283.02817257069927</v>
      </c>
      <c r="N54" s="97">
        <f>IFERROR(('2. COEFICIENTES'!N42*'2. COEFICIENTES'!N49*'3. PREÇOS INSUMOS'!O$34*'1. DADOS OPERACIONAIS'!N37)/'2. COEFICIENTES'!N35,0)</f>
        <v>283.02817257069927</v>
      </c>
      <c r="O54" s="97">
        <f>IFERROR(('2. COEFICIENTES'!O42*'2. COEFICIENTES'!O49*'3. PREÇOS INSUMOS'!P$34*'1. DADOS OPERACIONAIS'!O37)/'2. COEFICIENTES'!O35,0)</f>
        <v>283.02817257069927</v>
      </c>
      <c r="P54" s="97">
        <f>IFERROR(('2. COEFICIENTES'!P42*'2. COEFICIENTES'!P49*'3. PREÇOS INSUMOS'!Q$34*'1. DADOS OPERACIONAIS'!P37)/'2. COEFICIENTES'!P35,0)</f>
        <v>283.02817257069927</v>
      </c>
      <c r="Q54" s="97">
        <f>IFERROR(('2. COEFICIENTES'!Q42*'2. COEFICIENTES'!Q49*'3. PREÇOS INSUMOS'!R$34*'1. DADOS OPERACIONAIS'!Q37)/'2. COEFICIENTES'!Q35,0)</f>
        <v>283.02817257069927</v>
      </c>
      <c r="R54" s="97">
        <f>IFERROR(('2. COEFICIENTES'!R42*'2. COEFICIENTES'!R49*'3. PREÇOS INSUMOS'!S$34*'1. DADOS OPERACIONAIS'!R37)/'2. COEFICIENTES'!R35,0)</f>
        <v>283.02817257069927</v>
      </c>
      <c r="S54" s="97">
        <f>IFERROR(('2. COEFICIENTES'!S42*'2. COEFICIENTES'!S49*'3. PREÇOS INSUMOS'!T$34*'1. DADOS OPERACIONAIS'!S37)/'2. COEFICIENTES'!S35,0)</f>
        <v>283.02817257069927</v>
      </c>
      <c r="T54" s="98">
        <f>IFERROR(('2. COEFICIENTES'!T42*'2. COEFICIENTES'!T49*'3. PREÇOS INSUMOS'!U$34*'1. DADOS OPERACIONAIS'!T37)/'2. COEFICIENTES'!T35,0)</f>
        <v>283.02817257069927</v>
      </c>
      <c r="U54" s="96"/>
      <c r="V54" s="96"/>
      <c r="W54" s="96"/>
    </row>
    <row r="55" spans="1:23">
      <c r="A55" s="2">
        <v>2</v>
      </c>
      <c r="D55" s="217" t="str">
        <f>VLOOKUP(A55,TIPOLOGIA!$D$10:$E$12,2,0)</f>
        <v>CONVENCIONAL</v>
      </c>
      <c r="E55" s="226" t="str">
        <f>+E54</f>
        <v>(R$/mês)</v>
      </c>
      <c r="F55" s="222">
        <f>IFERROR(('2. COEFICIENTES'!F43*'2. COEFICIENTES'!F50*'3. PREÇOS INSUMOS'!G$34*'1. DADOS OPERACIONAIS'!F38)/'2. COEFICIENTES'!F36,0)</f>
        <v>1698.1690354241955</v>
      </c>
      <c r="G55" s="69">
        <f>IFERROR(('2. COEFICIENTES'!G43*'2. COEFICIENTES'!G50*'3. PREÇOS INSUMOS'!H$34*'1. DADOS OPERACIONAIS'!G38)/'2. COEFICIENTES'!G36,0)</f>
        <v>1698.1690354241955</v>
      </c>
      <c r="H55" s="69">
        <f>IFERROR(('2. COEFICIENTES'!H43*'2. COEFICIENTES'!H50*'3. PREÇOS INSUMOS'!I$34*'1. DADOS OPERACIONAIS'!H38)/'2. COEFICIENTES'!H36,0)</f>
        <v>1698.1690354241955</v>
      </c>
      <c r="I55" s="69">
        <f>IFERROR(('2. COEFICIENTES'!I43*'2. COEFICIENTES'!I50*'3. PREÇOS INSUMOS'!J$34*'1. DADOS OPERACIONAIS'!I38)/'2. COEFICIENTES'!I36,0)</f>
        <v>1698.1690354241955</v>
      </c>
      <c r="J55" s="69">
        <f>IFERROR(('2. COEFICIENTES'!J43*'2. COEFICIENTES'!J50*'3. PREÇOS INSUMOS'!K$34*'1. DADOS OPERACIONAIS'!J38)/'2. COEFICIENTES'!J36,0)</f>
        <v>1698.1690354241955</v>
      </c>
      <c r="K55" s="69">
        <f>IFERROR(('2. COEFICIENTES'!K43*'2. COEFICIENTES'!K50*'3. PREÇOS INSUMOS'!L$34*'1. DADOS OPERACIONAIS'!K38)/'2. COEFICIENTES'!K36,0)</f>
        <v>1698.1690354241955</v>
      </c>
      <c r="L55" s="69">
        <f>IFERROR(('2. COEFICIENTES'!L43*'2. COEFICIENTES'!L50*'3. PREÇOS INSUMOS'!M$34*'1. DADOS OPERACIONAIS'!L38)/'2. COEFICIENTES'!L36,0)</f>
        <v>1698.1690354241955</v>
      </c>
      <c r="M55" s="69">
        <f>IFERROR(('2. COEFICIENTES'!M43*'2. COEFICIENTES'!M50*'3. PREÇOS INSUMOS'!N$34*'1. DADOS OPERACIONAIS'!M38)/'2. COEFICIENTES'!M36,0)</f>
        <v>1698.1690354241955</v>
      </c>
      <c r="N55" s="69">
        <f>IFERROR(('2. COEFICIENTES'!N43*'2. COEFICIENTES'!N50*'3. PREÇOS INSUMOS'!O$34*'1. DADOS OPERACIONAIS'!N38)/'2. COEFICIENTES'!N36,0)</f>
        <v>1698.1690354241955</v>
      </c>
      <c r="O55" s="69">
        <f>IFERROR(('2. COEFICIENTES'!O43*'2. COEFICIENTES'!O50*'3. PREÇOS INSUMOS'!P$34*'1. DADOS OPERACIONAIS'!O38)/'2. COEFICIENTES'!O36,0)</f>
        <v>1698.1690354241955</v>
      </c>
      <c r="P55" s="69">
        <f>IFERROR(('2. COEFICIENTES'!P43*'2. COEFICIENTES'!P50*'3. PREÇOS INSUMOS'!Q$34*'1. DADOS OPERACIONAIS'!P38)/'2. COEFICIENTES'!P36,0)</f>
        <v>1698.1690354241955</v>
      </c>
      <c r="Q55" s="69">
        <f>IFERROR(('2. COEFICIENTES'!Q43*'2. COEFICIENTES'!Q50*'3. PREÇOS INSUMOS'!R$34*'1. DADOS OPERACIONAIS'!Q38)/'2. COEFICIENTES'!Q36,0)</f>
        <v>1698.1690354241955</v>
      </c>
      <c r="R55" s="69">
        <f>IFERROR(('2. COEFICIENTES'!R43*'2. COEFICIENTES'!R50*'3. PREÇOS INSUMOS'!S$34*'1. DADOS OPERACIONAIS'!R38)/'2. COEFICIENTES'!R36,0)</f>
        <v>1698.1690354241955</v>
      </c>
      <c r="S55" s="69">
        <f>IFERROR(('2. COEFICIENTES'!S43*'2. COEFICIENTES'!S50*'3. PREÇOS INSUMOS'!T$34*'1. DADOS OPERACIONAIS'!S38)/'2. COEFICIENTES'!S36,0)</f>
        <v>1698.1690354241955</v>
      </c>
      <c r="T55" s="70">
        <f>IFERROR(('2. COEFICIENTES'!T43*'2. COEFICIENTES'!T50*'3. PREÇOS INSUMOS'!U$34*'1. DADOS OPERACIONAIS'!T38)/'2. COEFICIENTES'!T36,0)</f>
        <v>1698.1690354241955</v>
      </c>
      <c r="U55" s="96"/>
      <c r="V55" s="96"/>
      <c r="W55" s="96"/>
    </row>
    <row r="56" spans="1:23" ht="13.5" thickBot="1">
      <c r="A56" s="2">
        <v>3</v>
      </c>
      <c r="D56" s="218" t="str">
        <f>VLOOKUP(A56,TIPOLOGIA!$D$10:$E$12,2,0)</f>
        <v>-</v>
      </c>
      <c r="E56" s="228" t="str">
        <f>+E55</f>
        <v>(R$/mês)</v>
      </c>
      <c r="F56" s="137">
        <f>IFERROR(('2. COEFICIENTES'!F44*'2. COEFICIENTES'!F51*'3. PREÇOS INSUMOS'!G$34*'1. DADOS OPERACIONAIS'!F39)/'2. COEFICIENTES'!F37,0)</f>
        <v>0</v>
      </c>
      <c r="G56" s="99">
        <f>IFERROR(('2. COEFICIENTES'!G44*'2. COEFICIENTES'!G51*'3. PREÇOS INSUMOS'!H$34*'1. DADOS OPERACIONAIS'!G39)/'2. COEFICIENTES'!G37,0)</f>
        <v>0</v>
      </c>
      <c r="H56" s="99">
        <f>IFERROR(('2. COEFICIENTES'!H44*'2. COEFICIENTES'!H51*'3. PREÇOS INSUMOS'!I$34*'1. DADOS OPERACIONAIS'!H39)/'2. COEFICIENTES'!H37,0)</f>
        <v>0</v>
      </c>
      <c r="I56" s="99">
        <f>IFERROR(('2. COEFICIENTES'!I44*'2. COEFICIENTES'!I51*'3. PREÇOS INSUMOS'!J$34*'1. DADOS OPERACIONAIS'!I39)/'2. COEFICIENTES'!I37,0)</f>
        <v>0</v>
      </c>
      <c r="J56" s="99">
        <f>IFERROR(('2. COEFICIENTES'!J44*'2. COEFICIENTES'!J51*'3. PREÇOS INSUMOS'!K$34*'1. DADOS OPERACIONAIS'!J39)/'2. COEFICIENTES'!J37,0)</f>
        <v>0</v>
      </c>
      <c r="K56" s="99">
        <f>IFERROR(('2. COEFICIENTES'!K44*'2. COEFICIENTES'!K51*'3. PREÇOS INSUMOS'!L$34*'1. DADOS OPERACIONAIS'!K39)/'2. COEFICIENTES'!K37,0)</f>
        <v>0</v>
      </c>
      <c r="L56" s="99">
        <f>IFERROR(('2. COEFICIENTES'!L44*'2. COEFICIENTES'!L51*'3. PREÇOS INSUMOS'!M$34*'1. DADOS OPERACIONAIS'!L39)/'2. COEFICIENTES'!L37,0)</f>
        <v>0</v>
      </c>
      <c r="M56" s="99">
        <f>IFERROR(('2. COEFICIENTES'!M44*'2. COEFICIENTES'!M51*'3. PREÇOS INSUMOS'!N$34*'1. DADOS OPERACIONAIS'!M39)/'2. COEFICIENTES'!M37,0)</f>
        <v>0</v>
      </c>
      <c r="N56" s="99">
        <f>IFERROR(('2. COEFICIENTES'!N44*'2. COEFICIENTES'!N51*'3. PREÇOS INSUMOS'!O$34*'1. DADOS OPERACIONAIS'!N39)/'2. COEFICIENTES'!N37,0)</f>
        <v>0</v>
      </c>
      <c r="O56" s="99">
        <f>IFERROR(('2. COEFICIENTES'!O44*'2. COEFICIENTES'!O51*'3. PREÇOS INSUMOS'!P$34*'1. DADOS OPERACIONAIS'!O39)/'2. COEFICIENTES'!O37,0)</f>
        <v>0</v>
      </c>
      <c r="P56" s="99">
        <f>IFERROR(('2. COEFICIENTES'!P44*'2. COEFICIENTES'!P51*'3. PREÇOS INSUMOS'!Q$34*'1. DADOS OPERACIONAIS'!P39)/'2. COEFICIENTES'!P37,0)</f>
        <v>0</v>
      </c>
      <c r="Q56" s="99">
        <f>IFERROR(('2. COEFICIENTES'!Q44*'2. COEFICIENTES'!Q51*'3. PREÇOS INSUMOS'!R$34*'1. DADOS OPERACIONAIS'!Q39)/'2. COEFICIENTES'!Q37,0)</f>
        <v>0</v>
      </c>
      <c r="R56" s="99">
        <f>IFERROR(('2. COEFICIENTES'!R44*'2. COEFICIENTES'!R51*'3. PREÇOS INSUMOS'!S$34*'1. DADOS OPERACIONAIS'!R39)/'2. COEFICIENTES'!R37,0)</f>
        <v>0</v>
      </c>
      <c r="S56" s="99">
        <f>IFERROR(('2. COEFICIENTES'!S44*'2. COEFICIENTES'!S51*'3. PREÇOS INSUMOS'!T$34*'1. DADOS OPERACIONAIS'!S39)/'2. COEFICIENTES'!S37,0)</f>
        <v>0</v>
      </c>
      <c r="T56" s="100">
        <f>IFERROR(('2. COEFICIENTES'!T44*'2. COEFICIENTES'!T51*'3. PREÇOS INSUMOS'!U$34*'1. DADOS OPERACIONAIS'!T39)/'2. COEFICIENTES'!T37,0)</f>
        <v>0</v>
      </c>
      <c r="U56" s="96"/>
      <c r="V56" s="96"/>
      <c r="W56" s="96"/>
    </row>
    <row r="57" spans="1:23">
      <c r="D57" s="231" t="s">
        <v>76</v>
      </c>
      <c r="E57" s="233" t="str">
        <f>+E56</f>
        <v>(R$/mês)</v>
      </c>
      <c r="F57" s="232">
        <f t="shared" ref="F57:T57" si="13">SUM(F54:F56)</f>
        <v>1981.1972079948948</v>
      </c>
      <c r="G57" s="101">
        <f t="shared" si="13"/>
        <v>1981.1972079948948</v>
      </c>
      <c r="H57" s="101">
        <f t="shared" si="13"/>
        <v>1981.1972079948948</v>
      </c>
      <c r="I57" s="101">
        <f t="shared" si="13"/>
        <v>1981.1972079948948</v>
      </c>
      <c r="J57" s="101">
        <f t="shared" si="13"/>
        <v>1981.1972079948948</v>
      </c>
      <c r="K57" s="101">
        <f t="shared" si="13"/>
        <v>1981.1972079948948</v>
      </c>
      <c r="L57" s="101">
        <f t="shared" si="13"/>
        <v>1981.1972079948948</v>
      </c>
      <c r="M57" s="101">
        <f t="shared" si="13"/>
        <v>1981.1972079948948</v>
      </c>
      <c r="N57" s="101">
        <f t="shared" si="13"/>
        <v>1981.1972079948948</v>
      </c>
      <c r="O57" s="101">
        <f t="shared" si="13"/>
        <v>1981.1972079948948</v>
      </c>
      <c r="P57" s="101">
        <f t="shared" si="13"/>
        <v>1981.1972079948948</v>
      </c>
      <c r="Q57" s="101">
        <f t="shared" si="13"/>
        <v>1981.1972079948948</v>
      </c>
      <c r="R57" s="101">
        <f t="shared" si="13"/>
        <v>1981.1972079948948</v>
      </c>
      <c r="S57" s="101">
        <f t="shared" si="13"/>
        <v>1981.1972079948948</v>
      </c>
      <c r="T57" s="102">
        <f t="shared" si="13"/>
        <v>1981.1972079948948</v>
      </c>
      <c r="U57" s="96"/>
      <c r="V57" s="96"/>
      <c r="W57" s="96"/>
    </row>
    <row r="58" spans="1:23" ht="13.5" thickBot="1">
      <c r="D58" s="220" t="s">
        <v>76</v>
      </c>
      <c r="E58" s="230" t="s">
        <v>167</v>
      </c>
      <c r="F58" s="224">
        <f t="shared" ref="F58:T58" si="14">+F57*12</f>
        <v>23774.366495938739</v>
      </c>
      <c r="G58" s="212">
        <f t="shared" si="14"/>
        <v>23774.366495938739</v>
      </c>
      <c r="H58" s="212">
        <f t="shared" si="14"/>
        <v>23774.366495938739</v>
      </c>
      <c r="I58" s="212">
        <f t="shared" si="14"/>
        <v>23774.366495938739</v>
      </c>
      <c r="J58" s="212">
        <f t="shared" si="14"/>
        <v>23774.366495938739</v>
      </c>
      <c r="K58" s="212">
        <f t="shared" si="14"/>
        <v>23774.366495938739</v>
      </c>
      <c r="L58" s="212">
        <f t="shared" si="14"/>
        <v>23774.366495938739</v>
      </c>
      <c r="M58" s="212">
        <f t="shared" si="14"/>
        <v>23774.366495938739</v>
      </c>
      <c r="N58" s="212">
        <f t="shared" si="14"/>
        <v>23774.366495938739</v>
      </c>
      <c r="O58" s="212">
        <f t="shared" si="14"/>
        <v>23774.366495938739</v>
      </c>
      <c r="P58" s="212">
        <f t="shared" si="14"/>
        <v>23774.366495938739</v>
      </c>
      <c r="Q58" s="212">
        <f t="shared" si="14"/>
        <v>23774.366495938739</v>
      </c>
      <c r="R58" s="212">
        <f t="shared" si="14"/>
        <v>23774.366495938739</v>
      </c>
      <c r="S58" s="212">
        <f t="shared" si="14"/>
        <v>23774.366495938739</v>
      </c>
      <c r="T58" s="213">
        <f t="shared" si="14"/>
        <v>23774.366495938739</v>
      </c>
      <c r="U58" s="96"/>
      <c r="V58" s="96"/>
      <c r="W58" s="96"/>
    </row>
    <row r="61" spans="1:23" ht="15.75">
      <c r="C61" s="381" t="str">
        <f>+MENU!$C$71</f>
        <v>4.4. - CÁLCULO DOS CUSTEIOS COM PEÇAS E ACESSÓRIOS</v>
      </c>
    </row>
    <row r="62" spans="1:23" ht="13.5" thickBot="1">
      <c r="C62" s="4"/>
    </row>
    <row r="63" spans="1:23" ht="18" customHeight="1">
      <c r="C63" s="707" t="s">
        <v>183</v>
      </c>
      <c r="D63" s="707"/>
      <c r="E63" s="582" t="s">
        <v>6</v>
      </c>
      <c r="F63" s="583">
        <v>1</v>
      </c>
      <c r="G63" s="584">
        <f t="shared" ref="G63:T63" si="15">+F63+1</f>
        <v>2</v>
      </c>
      <c r="H63" s="584">
        <f t="shared" si="15"/>
        <v>3</v>
      </c>
      <c r="I63" s="584">
        <f t="shared" si="15"/>
        <v>4</v>
      </c>
      <c r="J63" s="584">
        <f t="shared" si="15"/>
        <v>5</v>
      </c>
      <c r="K63" s="584">
        <f t="shared" si="15"/>
        <v>6</v>
      </c>
      <c r="L63" s="584">
        <f t="shared" si="15"/>
        <v>7</v>
      </c>
      <c r="M63" s="584">
        <f t="shared" si="15"/>
        <v>8</v>
      </c>
      <c r="N63" s="584">
        <f t="shared" si="15"/>
        <v>9</v>
      </c>
      <c r="O63" s="584">
        <f t="shared" si="15"/>
        <v>10</v>
      </c>
      <c r="P63" s="584">
        <f t="shared" si="15"/>
        <v>11</v>
      </c>
      <c r="Q63" s="584">
        <f t="shared" si="15"/>
        <v>12</v>
      </c>
      <c r="R63" s="584">
        <f t="shared" si="15"/>
        <v>13</v>
      </c>
      <c r="S63" s="584">
        <f t="shared" si="15"/>
        <v>14</v>
      </c>
      <c r="T63" s="585">
        <f t="shared" si="15"/>
        <v>15</v>
      </c>
    </row>
    <row r="64" spans="1:23">
      <c r="A64" s="2">
        <v>1</v>
      </c>
      <c r="D64" s="216" t="str">
        <f>VLOOKUP(A64,TIPOLOGIA!$D$10:$E$12,2,0)</f>
        <v>MICROÔNIBUS</v>
      </c>
      <c r="E64" s="225" t="s">
        <v>70</v>
      </c>
      <c r="F64" s="221">
        <f>+'3. PREÇOS INSUMOS'!G150*'1. DADOS OPERACIONAIS'!F37</f>
        <v>4697.0329780147422</v>
      </c>
      <c r="G64" s="97">
        <f>+'3. PREÇOS INSUMOS'!H150*'1. DADOS OPERACIONAIS'!G37</f>
        <v>4697.0329780147422</v>
      </c>
      <c r="H64" s="97">
        <f>+'3. PREÇOS INSUMOS'!I150*'1. DADOS OPERACIONAIS'!H37</f>
        <v>4697.0329780147422</v>
      </c>
      <c r="I64" s="97">
        <f>+'3. PREÇOS INSUMOS'!J150*'1. DADOS OPERACIONAIS'!I37</f>
        <v>4697.0329780147422</v>
      </c>
      <c r="J64" s="97">
        <f>+'3. PREÇOS INSUMOS'!K150*'1. DADOS OPERACIONAIS'!J37</f>
        <v>4697.0329780147422</v>
      </c>
      <c r="K64" s="97">
        <f>+'3. PREÇOS INSUMOS'!L150*'1. DADOS OPERACIONAIS'!K37</f>
        <v>4697.0329780147422</v>
      </c>
      <c r="L64" s="97">
        <f>+'3. PREÇOS INSUMOS'!M150*'1. DADOS OPERACIONAIS'!L37</f>
        <v>4697.0329780147422</v>
      </c>
      <c r="M64" s="97">
        <f>+'3. PREÇOS INSUMOS'!N150*'1. DADOS OPERACIONAIS'!M37</f>
        <v>4697.0329780147422</v>
      </c>
      <c r="N64" s="97">
        <f>+'3. PREÇOS INSUMOS'!O150*'1. DADOS OPERACIONAIS'!N37</f>
        <v>4697.0329780147422</v>
      </c>
      <c r="O64" s="97">
        <f>+'3. PREÇOS INSUMOS'!P150*'1. DADOS OPERACIONAIS'!O37</f>
        <v>4697.0329780147422</v>
      </c>
      <c r="P64" s="97">
        <f>+'3. PREÇOS INSUMOS'!Q150*'1. DADOS OPERACIONAIS'!P37</f>
        <v>4697.0329780147422</v>
      </c>
      <c r="Q64" s="97">
        <f>+'3. PREÇOS INSUMOS'!R150*'1. DADOS OPERACIONAIS'!Q37</f>
        <v>4697.0329780147422</v>
      </c>
      <c r="R64" s="97">
        <f>+'3. PREÇOS INSUMOS'!S150*'1. DADOS OPERACIONAIS'!R37</f>
        <v>4697.0329780147422</v>
      </c>
      <c r="S64" s="97">
        <f>+'3. PREÇOS INSUMOS'!T150*'1. DADOS OPERACIONAIS'!S37</f>
        <v>4697.0329780147422</v>
      </c>
      <c r="T64" s="98">
        <f>+'3. PREÇOS INSUMOS'!U150*'1. DADOS OPERACIONAIS'!T37</f>
        <v>4697.0329780147422</v>
      </c>
    </row>
    <row r="65" spans="1:20">
      <c r="A65" s="2">
        <v>2</v>
      </c>
      <c r="D65" s="217" t="str">
        <f>VLOOKUP(A65,TIPOLOGIA!$D$10:$E$12,2,0)</f>
        <v>CONVENCIONAL</v>
      </c>
      <c r="E65" s="226" t="str">
        <f>+E64</f>
        <v>(R$/mês)</v>
      </c>
      <c r="F65" s="222">
        <f>+'3. PREÇOS INSUMOS'!G151*'1. DADOS OPERACIONAIS'!F38</f>
        <v>11797.431025459533</v>
      </c>
      <c r="G65" s="69">
        <f>+'3. PREÇOS INSUMOS'!H151*'1. DADOS OPERACIONAIS'!G38</f>
        <v>11797.431025459533</v>
      </c>
      <c r="H65" s="69">
        <f>+'3. PREÇOS INSUMOS'!I151*'1. DADOS OPERACIONAIS'!H38</f>
        <v>11797.431025459533</v>
      </c>
      <c r="I65" s="69">
        <f>+'3. PREÇOS INSUMOS'!J151*'1. DADOS OPERACIONAIS'!I38</f>
        <v>11797.431025459533</v>
      </c>
      <c r="J65" s="69">
        <f>+'3. PREÇOS INSUMOS'!K151*'1. DADOS OPERACIONAIS'!J38</f>
        <v>11797.431025459533</v>
      </c>
      <c r="K65" s="69">
        <f>+'3. PREÇOS INSUMOS'!L151*'1. DADOS OPERACIONAIS'!K38</f>
        <v>11797.431025459533</v>
      </c>
      <c r="L65" s="69">
        <f>+'3. PREÇOS INSUMOS'!M151*'1. DADOS OPERACIONAIS'!L38</f>
        <v>11797.431025459533</v>
      </c>
      <c r="M65" s="69">
        <f>+'3. PREÇOS INSUMOS'!N151*'1. DADOS OPERACIONAIS'!M38</f>
        <v>11797.431025459533</v>
      </c>
      <c r="N65" s="69">
        <f>+'3. PREÇOS INSUMOS'!O151*'1. DADOS OPERACIONAIS'!N38</f>
        <v>11797.431025459533</v>
      </c>
      <c r="O65" s="69">
        <f>+'3. PREÇOS INSUMOS'!P151*'1. DADOS OPERACIONAIS'!O38</f>
        <v>11797.431025459533</v>
      </c>
      <c r="P65" s="69">
        <f>+'3. PREÇOS INSUMOS'!Q151*'1. DADOS OPERACIONAIS'!P38</f>
        <v>11797.431025459533</v>
      </c>
      <c r="Q65" s="69">
        <f>+'3. PREÇOS INSUMOS'!R151*'1. DADOS OPERACIONAIS'!Q38</f>
        <v>11797.431025459533</v>
      </c>
      <c r="R65" s="69">
        <f>+'3. PREÇOS INSUMOS'!S151*'1. DADOS OPERACIONAIS'!R38</f>
        <v>11797.431025459533</v>
      </c>
      <c r="S65" s="69">
        <f>+'3. PREÇOS INSUMOS'!T151*'1. DADOS OPERACIONAIS'!S38</f>
        <v>11797.431025459533</v>
      </c>
      <c r="T65" s="70">
        <f>+'3. PREÇOS INSUMOS'!U151*'1. DADOS OPERACIONAIS'!T38</f>
        <v>11797.431025459533</v>
      </c>
    </row>
    <row r="66" spans="1:20" ht="13.5" thickBot="1">
      <c r="A66" s="2">
        <v>3</v>
      </c>
      <c r="D66" s="218" t="str">
        <f>VLOOKUP(A66,TIPOLOGIA!$D$10:$E$12,2,0)</f>
        <v>-</v>
      </c>
      <c r="E66" s="228" t="str">
        <f>+E65</f>
        <v>(R$/mês)</v>
      </c>
      <c r="F66" s="137">
        <f>+'3. PREÇOS INSUMOS'!G152*'1. DADOS OPERACIONAIS'!F39</f>
        <v>0</v>
      </c>
      <c r="G66" s="99">
        <f>+'3. PREÇOS INSUMOS'!H152*'1. DADOS OPERACIONAIS'!G39</f>
        <v>0</v>
      </c>
      <c r="H66" s="99">
        <f>+'3. PREÇOS INSUMOS'!I152*'1. DADOS OPERACIONAIS'!H39</f>
        <v>0</v>
      </c>
      <c r="I66" s="99">
        <f>+'3. PREÇOS INSUMOS'!J152*'1. DADOS OPERACIONAIS'!I39</f>
        <v>0</v>
      </c>
      <c r="J66" s="99">
        <f>+'3. PREÇOS INSUMOS'!K152*'1. DADOS OPERACIONAIS'!J39</f>
        <v>0</v>
      </c>
      <c r="K66" s="99">
        <f>+'3. PREÇOS INSUMOS'!L152*'1. DADOS OPERACIONAIS'!K39</f>
        <v>0</v>
      </c>
      <c r="L66" s="99">
        <f>+'3. PREÇOS INSUMOS'!M152*'1. DADOS OPERACIONAIS'!L39</f>
        <v>0</v>
      </c>
      <c r="M66" s="99">
        <f>+'3. PREÇOS INSUMOS'!N152*'1. DADOS OPERACIONAIS'!M39</f>
        <v>0</v>
      </c>
      <c r="N66" s="99">
        <f>+'3. PREÇOS INSUMOS'!O152*'1. DADOS OPERACIONAIS'!N39</f>
        <v>0</v>
      </c>
      <c r="O66" s="99">
        <f>+'3. PREÇOS INSUMOS'!P152*'1. DADOS OPERACIONAIS'!O39</f>
        <v>0</v>
      </c>
      <c r="P66" s="99">
        <f>+'3. PREÇOS INSUMOS'!Q152*'1. DADOS OPERACIONAIS'!P39</f>
        <v>0</v>
      </c>
      <c r="Q66" s="99">
        <f>+'3. PREÇOS INSUMOS'!R152*'1. DADOS OPERACIONAIS'!Q39</f>
        <v>0</v>
      </c>
      <c r="R66" s="99">
        <f>+'3. PREÇOS INSUMOS'!S152*'1. DADOS OPERACIONAIS'!R39</f>
        <v>0</v>
      </c>
      <c r="S66" s="99">
        <f>+'3. PREÇOS INSUMOS'!T152*'1. DADOS OPERACIONAIS'!S39</f>
        <v>0</v>
      </c>
      <c r="T66" s="100">
        <f>+'3. PREÇOS INSUMOS'!U152*'1. DADOS OPERACIONAIS'!T39</f>
        <v>0</v>
      </c>
    </row>
    <row r="67" spans="1:20">
      <c r="D67" s="231" t="s">
        <v>75</v>
      </c>
      <c r="E67" s="233" t="str">
        <f>+E66</f>
        <v>(R$/mês)</v>
      </c>
      <c r="F67" s="232">
        <f t="shared" ref="F67:T67" si="16">SUM(F64:F66)</f>
        <v>16494.464003474277</v>
      </c>
      <c r="G67" s="101">
        <f t="shared" si="16"/>
        <v>16494.464003474277</v>
      </c>
      <c r="H67" s="101">
        <f t="shared" si="16"/>
        <v>16494.464003474277</v>
      </c>
      <c r="I67" s="101">
        <f t="shared" si="16"/>
        <v>16494.464003474277</v>
      </c>
      <c r="J67" s="101">
        <f t="shared" si="16"/>
        <v>16494.464003474277</v>
      </c>
      <c r="K67" s="101">
        <f t="shared" si="16"/>
        <v>16494.464003474277</v>
      </c>
      <c r="L67" s="101">
        <f t="shared" si="16"/>
        <v>16494.464003474277</v>
      </c>
      <c r="M67" s="101">
        <f t="shared" si="16"/>
        <v>16494.464003474277</v>
      </c>
      <c r="N67" s="101">
        <f t="shared" si="16"/>
        <v>16494.464003474277</v>
      </c>
      <c r="O67" s="101">
        <f t="shared" si="16"/>
        <v>16494.464003474277</v>
      </c>
      <c r="P67" s="101">
        <f t="shared" si="16"/>
        <v>16494.464003474277</v>
      </c>
      <c r="Q67" s="101">
        <f t="shared" si="16"/>
        <v>16494.464003474277</v>
      </c>
      <c r="R67" s="101">
        <f t="shared" si="16"/>
        <v>16494.464003474277</v>
      </c>
      <c r="S67" s="101">
        <f t="shared" si="16"/>
        <v>16494.464003474277</v>
      </c>
      <c r="T67" s="102">
        <f t="shared" si="16"/>
        <v>16494.464003474277</v>
      </c>
    </row>
    <row r="68" spans="1:20" ht="13.5" thickBot="1">
      <c r="D68" s="220" t="s">
        <v>75</v>
      </c>
      <c r="E68" s="230" t="s">
        <v>167</v>
      </c>
      <c r="F68" s="224">
        <f t="shared" ref="F68:T68" si="17">+F67*12</f>
        <v>197933.56804169132</v>
      </c>
      <c r="G68" s="212">
        <f t="shared" si="17"/>
        <v>197933.56804169132</v>
      </c>
      <c r="H68" s="212">
        <f t="shared" si="17"/>
        <v>197933.56804169132</v>
      </c>
      <c r="I68" s="212">
        <f t="shared" si="17"/>
        <v>197933.56804169132</v>
      </c>
      <c r="J68" s="212">
        <f t="shared" si="17"/>
        <v>197933.56804169132</v>
      </c>
      <c r="K68" s="212">
        <f t="shared" si="17"/>
        <v>197933.56804169132</v>
      </c>
      <c r="L68" s="212">
        <f t="shared" si="17"/>
        <v>197933.56804169132</v>
      </c>
      <c r="M68" s="212">
        <f t="shared" si="17"/>
        <v>197933.56804169132</v>
      </c>
      <c r="N68" s="212">
        <f t="shared" si="17"/>
        <v>197933.56804169132</v>
      </c>
      <c r="O68" s="212">
        <f t="shared" si="17"/>
        <v>197933.56804169132</v>
      </c>
      <c r="P68" s="212">
        <f t="shared" si="17"/>
        <v>197933.56804169132</v>
      </c>
      <c r="Q68" s="212">
        <f t="shared" si="17"/>
        <v>197933.56804169132</v>
      </c>
      <c r="R68" s="212">
        <f t="shared" si="17"/>
        <v>197933.56804169132</v>
      </c>
      <c r="S68" s="212">
        <f t="shared" si="17"/>
        <v>197933.56804169132</v>
      </c>
      <c r="T68" s="213">
        <f t="shared" si="17"/>
        <v>197933.56804169132</v>
      </c>
    </row>
    <row r="71" spans="1:20" ht="15.75">
      <c r="C71" s="381" t="str">
        <f>+MENU!$C$72</f>
        <v>4.5. - TOTALIZAÇÃO DOS CUSTOS VARIÁVEIS</v>
      </c>
    </row>
    <row r="72" spans="1:20" ht="13.5" thickBot="1">
      <c r="C72" s="4"/>
    </row>
    <row r="73" spans="1:20" ht="18" customHeight="1">
      <c r="C73" s="707" t="s">
        <v>166</v>
      </c>
      <c r="D73" s="707"/>
      <c r="E73" s="582" t="s">
        <v>6</v>
      </c>
      <c r="F73" s="583">
        <v>1</v>
      </c>
      <c r="G73" s="584">
        <f t="shared" ref="G73:T73" si="18">+F73+1</f>
        <v>2</v>
      </c>
      <c r="H73" s="584">
        <f t="shared" si="18"/>
        <v>3</v>
      </c>
      <c r="I73" s="584">
        <f t="shared" si="18"/>
        <v>4</v>
      </c>
      <c r="J73" s="584">
        <f t="shared" si="18"/>
        <v>5</v>
      </c>
      <c r="K73" s="584">
        <f t="shared" si="18"/>
        <v>6</v>
      </c>
      <c r="L73" s="584">
        <f t="shared" si="18"/>
        <v>7</v>
      </c>
      <c r="M73" s="584">
        <f t="shared" si="18"/>
        <v>8</v>
      </c>
      <c r="N73" s="584">
        <f t="shared" si="18"/>
        <v>9</v>
      </c>
      <c r="O73" s="584">
        <f t="shared" si="18"/>
        <v>10</v>
      </c>
      <c r="P73" s="584">
        <f t="shared" si="18"/>
        <v>11</v>
      </c>
      <c r="Q73" s="584">
        <f t="shared" si="18"/>
        <v>12</v>
      </c>
      <c r="R73" s="584">
        <f t="shared" si="18"/>
        <v>13</v>
      </c>
      <c r="S73" s="584">
        <f t="shared" si="18"/>
        <v>14</v>
      </c>
      <c r="T73" s="585">
        <f t="shared" si="18"/>
        <v>15</v>
      </c>
    </row>
    <row r="74" spans="1:20" ht="18" customHeight="1">
      <c r="D74" s="216" t="s">
        <v>80</v>
      </c>
      <c r="E74" s="225" t="s">
        <v>70</v>
      </c>
      <c r="F74" s="221">
        <f t="shared" ref="F74:T74" si="19">+F17</f>
        <v>70992.090798082645</v>
      </c>
      <c r="G74" s="97">
        <f t="shared" si="19"/>
        <v>70992.090798082645</v>
      </c>
      <c r="H74" s="97">
        <f t="shared" si="19"/>
        <v>70992.090798082645</v>
      </c>
      <c r="I74" s="97">
        <f t="shared" si="19"/>
        <v>70992.090798082645</v>
      </c>
      <c r="J74" s="97">
        <f t="shared" si="19"/>
        <v>70992.090798082645</v>
      </c>
      <c r="K74" s="97">
        <f t="shared" si="19"/>
        <v>70992.090798082645</v>
      </c>
      <c r="L74" s="97">
        <f t="shared" si="19"/>
        <v>70992.090798082645</v>
      </c>
      <c r="M74" s="97">
        <f t="shared" si="19"/>
        <v>70992.090798082645</v>
      </c>
      <c r="N74" s="97">
        <f t="shared" si="19"/>
        <v>70992.090798082645</v>
      </c>
      <c r="O74" s="97">
        <f t="shared" si="19"/>
        <v>70992.090798082645</v>
      </c>
      <c r="P74" s="97">
        <f t="shared" si="19"/>
        <v>70992.090798082645</v>
      </c>
      <c r="Q74" s="97">
        <f t="shared" si="19"/>
        <v>70992.090798082645</v>
      </c>
      <c r="R74" s="97">
        <f t="shared" si="19"/>
        <v>70992.090798082645</v>
      </c>
      <c r="S74" s="97">
        <f t="shared" si="19"/>
        <v>70992.090798082645</v>
      </c>
      <c r="T74" s="98">
        <f t="shared" si="19"/>
        <v>70992.090798082645</v>
      </c>
    </row>
    <row r="75" spans="1:20" ht="18" customHeight="1">
      <c r="D75" s="217" t="s">
        <v>81</v>
      </c>
      <c r="E75" s="226" t="str">
        <f>+E74</f>
        <v>(R$/mês)</v>
      </c>
      <c r="F75" s="222">
        <f t="shared" ref="F75:T75" si="20">F26</f>
        <v>1025.2336542483542</v>
      </c>
      <c r="G75" s="69">
        <f t="shared" si="20"/>
        <v>1025.2336542483542</v>
      </c>
      <c r="H75" s="69">
        <f t="shared" si="20"/>
        <v>1025.2336542483542</v>
      </c>
      <c r="I75" s="69">
        <f t="shared" si="20"/>
        <v>1025.2336542483542</v>
      </c>
      <c r="J75" s="69">
        <f t="shared" si="20"/>
        <v>1025.2336542483542</v>
      </c>
      <c r="K75" s="69">
        <f t="shared" si="20"/>
        <v>1025.2336542483542</v>
      </c>
      <c r="L75" s="69">
        <f t="shared" si="20"/>
        <v>1025.2336542483542</v>
      </c>
      <c r="M75" s="69">
        <f t="shared" si="20"/>
        <v>1025.2336542483542</v>
      </c>
      <c r="N75" s="69">
        <f t="shared" si="20"/>
        <v>1025.2336542483542</v>
      </c>
      <c r="O75" s="69">
        <f t="shared" si="20"/>
        <v>1025.2336542483542</v>
      </c>
      <c r="P75" s="69">
        <f t="shared" si="20"/>
        <v>1025.2336542483542</v>
      </c>
      <c r="Q75" s="69">
        <f t="shared" si="20"/>
        <v>1025.2336542483542</v>
      </c>
      <c r="R75" s="69">
        <f t="shared" si="20"/>
        <v>1025.2336542483542</v>
      </c>
      <c r="S75" s="69">
        <f t="shared" si="20"/>
        <v>1025.2336542483542</v>
      </c>
      <c r="T75" s="70">
        <f t="shared" si="20"/>
        <v>1025.2336542483542</v>
      </c>
    </row>
    <row r="76" spans="1:20" ht="18" customHeight="1">
      <c r="D76" s="202" t="s">
        <v>82</v>
      </c>
      <c r="E76" s="227" t="str">
        <f>+E75</f>
        <v>(R$/mês)</v>
      </c>
      <c r="F76" s="222">
        <f t="shared" ref="F76:T76" si="21">+F36</f>
        <v>8952.7841953561256</v>
      </c>
      <c r="G76" s="69">
        <f t="shared" si="21"/>
        <v>8952.7841953561256</v>
      </c>
      <c r="H76" s="69">
        <f t="shared" si="21"/>
        <v>8952.7841953561256</v>
      </c>
      <c r="I76" s="69">
        <f t="shared" si="21"/>
        <v>8952.7841953561256</v>
      </c>
      <c r="J76" s="69">
        <f t="shared" si="21"/>
        <v>8952.7841953561256</v>
      </c>
      <c r="K76" s="69">
        <f t="shared" si="21"/>
        <v>8952.7841953561256</v>
      </c>
      <c r="L76" s="69">
        <f t="shared" si="21"/>
        <v>8952.7841953561256</v>
      </c>
      <c r="M76" s="69">
        <f t="shared" si="21"/>
        <v>8952.7841953561256</v>
      </c>
      <c r="N76" s="69">
        <f t="shared" si="21"/>
        <v>8952.7841953561256</v>
      </c>
      <c r="O76" s="69">
        <f t="shared" si="21"/>
        <v>8952.7841953561256</v>
      </c>
      <c r="P76" s="69">
        <f t="shared" si="21"/>
        <v>8952.7841953561256</v>
      </c>
      <c r="Q76" s="69">
        <f t="shared" si="21"/>
        <v>8952.7841953561256</v>
      </c>
      <c r="R76" s="69">
        <f t="shared" si="21"/>
        <v>8952.7841953561256</v>
      </c>
      <c r="S76" s="69">
        <f t="shared" si="21"/>
        <v>8952.7841953561256</v>
      </c>
      <c r="T76" s="70">
        <f t="shared" si="21"/>
        <v>8952.7841953561256</v>
      </c>
    </row>
    <row r="77" spans="1:20" ht="18" customHeight="1">
      <c r="D77" s="202" t="s">
        <v>83</v>
      </c>
      <c r="E77" s="227" t="str">
        <f>+E76</f>
        <v>(R$/mês)</v>
      </c>
      <c r="F77" s="222">
        <f t="shared" ref="F77:T77" si="22">+F48+F57</f>
        <v>3928.4310352813054</v>
      </c>
      <c r="G77" s="69">
        <f t="shared" si="22"/>
        <v>3928.4310352813054</v>
      </c>
      <c r="H77" s="69">
        <f t="shared" si="22"/>
        <v>3928.4310352813054</v>
      </c>
      <c r="I77" s="69">
        <f t="shared" si="22"/>
        <v>3928.4310352813054</v>
      </c>
      <c r="J77" s="69">
        <f t="shared" si="22"/>
        <v>3928.4310352813054</v>
      </c>
      <c r="K77" s="69">
        <f t="shared" si="22"/>
        <v>3928.4310352813054</v>
      </c>
      <c r="L77" s="69">
        <f t="shared" si="22"/>
        <v>3928.4310352813054</v>
      </c>
      <c r="M77" s="69">
        <f t="shared" si="22"/>
        <v>3928.4310352813054</v>
      </c>
      <c r="N77" s="69">
        <f t="shared" si="22"/>
        <v>3928.4310352813054</v>
      </c>
      <c r="O77" s="69">
        <f t="shared" si="22"/>
        <v>3928.4310352813054</v>
      </c>
      <c r="P77" s="69">
        <f t="shared" si="22"/>
        <v>3928.4310352813054</v>
      </c>
      <c r="Q77" s="69">
        <f t="shared" si="22"/>
        <v>3928.4310352813054</v>
      </c>
      <c r="R77" s="69">
        <f t="shared" si="22"/>
        <v>3928.4310352813054</v>
      </c>
      <c r="S77" s="69">
        <f t="shared" si="22"/>
        <v>3928.4310352813054</v>
      </c>
      <c r="T77" s="70">
        <f t="shared" si="22"/>
        <v>3928.4310352813054</v>
      </c>
    </row>
    <row r="78" spans="1:20" ht="18" customHeight="1" thickBot="1">
      <c r="D78" s="218" t="s">
        <v>84</v>
      </c>
      <c r="E78" s="228" t="str">
        <f>+E77</f>
        <v>(R$/mês)</v>
      </c>
      <c r="F78" s="137">
        <f t="shared" ref="F78:T78" si="23">+F67</f>
        <v>16494.464003474277</v>
      </c>
      <c r="G78" s="99">
        <f t="shared" si="23"/>
        <v>16494.464003474277</v>
      </c>
      <c r="H78" s="99">
        <f t="shared" si="23"/>
        <v>16494.464003474277</v>
      </c>
      <c r="I78" s="99">
        <f t="shared" si="23"/>
        <v>16494.464003474277</v>
      </c>
      <c r="J78" s="99">
        <f t="shared" si="23"/>
        <v>16494.464003474277</v>
      </c>
      <c r="K78" s="99">
        <f t="shared" si="23"/>
        <v>16494.464003474277</v>
      </c>
      <c r="L78" s="99">
        <f t="shared" si="23"/>
        <v>16494.464003474277</v>
      </c>
      <c r="M78" s="99">
        <f t="shared" si="23"/>
        <v>16494.464003474277</v>
      </c>
      <c r="N78" s="99">
        <f t="shared" si="23"/>
        <v>16494.464003474277</v>
      </c>
      <c r="O78" s="99">
        <f t="shared" si="23"/>
        <v>16494.464003474277</v>
      </c>
      <c r="P78" s="99">
        <f t="shared" si="23"/>
        <v>16494.464003474277</v>
      </c>
      <c r="Q78" s="99">
        <f t="shared" si="23"/>
        <v>16494.464003474277</v>
      </c>
      <c r="R78" s="99">
        <f t="shared" si="23"/>
        <v>16494.464003474277</v>
      </c>
      <c r="S78" s="99">
        <f t="shared" si="23"/>
        <v>16494.464003474277</v>
      </c>
      <c r="T78" s="100">
        <f t="shared" si="23"/>
        <v>16494.464003474277</v>
      </c>
    </row>
    <row r="79" spans="1:20" ht="18" customHeight="1">
      <c r="D79" s="219" t="s">
        <v>79</v>
      </c>
      <c r="E79" s="229" t="s">
        <v>70</v>
      </c>
      <c r="F79" s="223">
        <f>SUM(F74:F78)</f>
        <v>101393.00368644271</v>
      </c>
      <c r="G79" s="214">
        <f t="shared" ref="G79:T79" si="24">SUM(G74:G78)</f>
        <v>101393.00368644271</v>
      </c>
      <c r="H79" s="214">
        <f t="shared" si="24"/>
        <v>101393.00368644271</v>
      </c>
      <c r="I79" s="214">
        <f t="shared" si="24"/>
        <v>101393.00368644271</v>
      </c>
      <c r="J79" s="214">
        <f t="shared" si="24"/>
        <v>101393.00368644271</v>
      </c>
      <c r="K79" s="214">
        <f t="shared" si="24"/>
        <v>101393.00368644271</v>
      </c>
      <c r="L79" s="214">
        <f t="shared" si="24"/>
        <v>101393.00368644271</v>
      </c>
      <c r="M79" s="214">
        <f t="shared" si="24"/>
        <v>101393.00368644271</v>
      </c>
      <c r="N79" s="214">
        <f t="shared" si="24"/>
        <v>101393.00368644271</v>
      </c>
      <c r="O79" s="214">
        <f t="shared" si="24"/>
        <v>101393.00368644271</v>
      </c>
      <c r="P79" s="214">
        <f t="shared" si="24"/>
        <v>101393.00368644271</v>
      </c>
      <c r="Q79" s="214">
        <f t="shared" si="24"/>
        <v>101393.00368644271</v>
      </c>
      <c r="R79" s="214">
        <f t="shared" si="24"/>
        <v>101393.00368644271</v>
      </c>
      <c r="S79" s="214">
        <f t="shared" si="24"/>
        <v>101393.00368644271</v>
      </c>
      <c r="T79" s="215">
        <f t="shared" si="24"/>
        <v>101393.00368644271</v>
      </c>
    </row>
    <row r="80" spans="1:20" ht="18" customHeight="1" thickBot="1">
      <c r="D80" s="220" t="s">
        <v>79</v>
      </c>
      <c r="E80" s="230" t="s">
        <v>167</v>
      </c>
      <c r="F80" s="224">
        <f>+F79*12</f>
        <v>1216716.0442373124</v>
      </c>
      <c r="G80" s="212">
        <f t="shared" ref="G80:T80" si="25">+G79*12</f>
        <v>1216716.0442373124</v>
      </c>
      <c r="H80" s="212">
        <f t="shared" si="25"/>
        <v>1216716.0442373124</v>
      </c>
      <c r="I80" s="212">
        <f t="shared" si="25"/>
        <v>1216716.0442373124</v>
      </c>
      <c r="J80" s="212">
        <f t="shared" si="25"/>
        <v>1216716.0442373124</v>
      </c>
      <c r="K80" s="212">
        <f t="shared" si="25"/>
        <v>1216716.0442373124</v>
      </c>
      <c r="L80" s="212">
        <f t="shared" si="25"/>
        <v>1216716.0442373124</v>
      </c>
      <c r="M80" s="212">
        <f t="shared" si="25"/>
        <v>1216716.0442373124</v>
      </c>
      <c r="N80" s="212">
        <f t="shared" si="25"/>
        <v>1216716.0442373124</v>
      </c>
      <c r="O80" s="212">
        <f t="shared" si="25"/>
        <v>1216716.0442373124</v>
      </c>
      <c r="P80" s="212">
        <f t="shared" si="25"/>
        <v>1216716.0442373124</v>
      </c>
      <c r="Q80" s="212">
        <f t="shared" si="25"/>
        <v>1216716.0442373124</v>
      </c>
      <c r="R80" s="212">
        <f t="shared" si="25"/>
        <v>1216716.0442373124</v>
      </c>
      <c r="S80" s="212">
        <f t="shared" si="25"/>
        <v>1216716.0442373124</v>
      </c>
      <c r="T80" s="213">
        <f t="shared" si="25"/>
        <v>1216716.0442373124</v>
      </c>
    </row>
    <row r="82" spans="6:6">
      <c r="F82" s="125"/>
    </row>
  </sheetData>
  <mergeCells count="7">
    <mergeCell ref="C44:D44"/>
    <mergeCell ref="C53:D53"/>
    <mergeCell ref="C63:D63"/>
    <mergeCell ref="C73:D73"/>
    <mergeCell ref="C13:D13"/>
    <mergeCell ref="C22:D22"/>
    <mergeCell ref="C32:D32"/>
  </mergeCells>
  <pageMargins left="0.51181102362204722" right="0.51181102362204722" top="0.78740157480314965" bottom="0.78740157480314965" header="0.31496062992125984" footer="0.31496062992125984"/>
  <pageSetup paperSize="9" scale="63" fitToHeight="2" orientation="landscape" verticalDpi="300" r:id="rId1"/>
  <rowBreaks count="1" manualBreakCount="1">
    <brk id="50" min="1" max="1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1:T94"/>
  <sheetViews>
    <sheetView showGridLines="0" view="pageBreakPreview" topLeftCell="A73" zoomScaleNormal="100" zoomScaleSheetLayoutView="100" workbookViewId="0">
      <selection activeCell="C84" sqref="C84:T92"/>
    </sheetView>
  </sheetViews>
  <sheetFormatPr defaultRowHeight="12.75"/>
  <cols>
    <col min="1" max="1" width="1.140625" style="2" customWidth="1"/>
    <col min="2" max="2" width="2.42578125" style="2" customWidth="1"/>
    <col min="3" max="3" width="2.140625" style="2" customWidth="1"/>
    <col min="4" max="4" width="30.85546875" style="2" customWidth="1"/>
    <col min="5" max="5" width="13.28515625" style="5" customWidth="1"/>
    <col min="6" max="20" width="11.28515625" style="2" bestFit="1" customWidth="1"/>
    <col min="21" max="16384" width="9.140625" style="2"/>
  </cols>
  <sheetData>
    <row r="1" spans="2:20">
      <c r="B1" s="1"/>
      <c r="C1" s="1"/>
      <c r="D1" s="1"/>
      <c r="E1" s="36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2:20" ht="15">
      <c r="B2" s="1"/>
      <c r="C2" s="1"/>
      <c r="D2" s="1"/>
      <c r="E2" s="403" t="s">
        <v>365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2:20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0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2:20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7" t="str">
        <f>+MENU!$C$5</f>
        <v>DATA BASE DE CÁLCULO: MARÇO 2020</v>
      </c>
    </row>
    <row r="7" spans="2:20" ht="15.75">
      <c r="B7" s="381" t="str">
        <f>+MENU!$C$73</f>
        <v>5. - CÁLCULO DOS CUSTOS FIXOS (COM PESSOAL)</v>
      </c>
    </row>
    <row r="9" spans="2:20" ht="15.75">
      <c r="C9" s="381" t="str">
        <f>+MENU!$C$74</f>
        <v>5.1. - CÁLCULO DOS CUSTEIOS COM PESSOAL DE OPERAÇÃO</v>
      </c>
    </row>
    <row r="11" spans="2:20" ht="15.75">
      <c r="C11" s="381" t="str">
        <f>+MENU!$C$75</f>
        <v>5.1.1. - CUSTEIOS COM MOTORISTAS</v>
      </c>
    </row>
    <row r="12" spans="2:20">
      <c r="C12" s="4"/>
    </row>
    <row r="13" spans="2:20" ht="18" customHeight="1">
      <c r="C13" s="694" t="s">
        <v>116</v>
      </c>
      <c r="D13" s="694"/>
      <c r="E13" s="34" t="s">
        <v>6</v>
      </c>
      <c r="F13" s="586">
        <v>1</v>
      </c>
      <c r="G13" s="572">
        <f t="shared" ref="G13:T13" si="0">+F13+1</f>
        <v>2</v>
      </c>
      <c r="H13" s="572">
        <f t="shared" si="0"/>
        <v>3</v>
      </c>
      <c r="I13" s="572">
        <f t="shared" si="0"/>
        <v>4</v>
      </c>
      <c r="J13" s="572">
        <f t="shared" si="0"/>
        <v>5</v>
      </c>
      <c r="K13" s="572">
        <f t="shared" si="0"/>
        <v>6</v>
      </c>
      <c r="L13" s="572">
        <f t="shared" si="0"/>
        <v>7</v>
      </c>
      <c r="M13" s="572">
        <f t="shared" si="0"/>
        <v>8</v>
      </c>
      <c r="N13" s="572">
        <f t="shared" si="0"/>
        <v>9</v>
      </c>
      <c r="O13" s="572">
        <f t="shared" si="0"/>
        <v>10</v>
      </c>
      <c r="P13" s="572">
        <f t="shared" si="0"/>
        <v>11</v>
      </c>
      <c r="Q13" s="572">
        <f t="shared" si="0"/>
        <v>12</v>
      </c>
      <c r="R13" s="572">
        <f t="shared" si="0"/>
        <v>13</v>
      </c>
      <c r="S13" s="572">
        <f t="shared" si="0"/>
        <v>14</v>
      </c>
      <c r="T13" s="573">
        <f t="shared" si="0"/>
        <v>15</v>
      </c>
    </row>
    <row r="14" spans="2:20">
      <c r="D14" s="2" t="str">
        <f>"FROTA OPERACIONAL"</f>
        <v>FROTA OPERACIONAL</v>
      </c>
      <c r="E14" s="166" t="s">
        <v>407</v>
      </c>
      <c r="F14" s="183">
        <f>+'1. DADOS OPERACIONAIS'!F15</f>
        <v>12</v>
      </c>
      <c r="G14" s="184">
        <f>+'1. DADOS OPERACIONAIS'!G15</f>
        <v>12</v>
      </c>
      <c r="H14" s="184">
        <f>+'1. DADOS OPERACIONAIS'!H15</f>
        <v>12</v>
      </c>
      <c r="I14" s="184">
        <f>+'1. DADOS OPERACIONAIS'!I15</f>
        <v>12</v>
      </c>
      <c r="J14" s="184">
        <f>+'1. DADOS OPERACIONAIS'!J15</f>
        <v>12</v>
      </c>
      <c r="K14" s="184">
        <f>+'1. DADOS OPERACIONAIS'!K15</f>
        <v>12</v>
      </c>
      <c r="L14" s="184">
        <f>+'1. DADOS OPERACIONAIS'!L15</f>
        <v>12</v>
      </c>
      <c r="M14" s="184">
        <f>+'1. DADOS OPERACIONAIS'!M15</f>
        <v>12</v>
      </c>
      <c r="N14" s="184">
        <f>+'1. DADOS OPERACIONAIS'!N15</f>
        <v>12</v>
      </c>
      <c r="O14" s="184">
        <f>+'1. DADOS OPERACIONAIS'!O15</f>
        <v>12</v>
      </c>
      <c r="P14" s="184">
        <f>+'1. DADOS OPERACIONAIS'!P15</f>
        <v>12</v>
      </c>
      <c r="Q14" s="184">
        <f>+'1. DADOS OPERACIONAIS'!Q15</f>
        <v>12</v>
      </c>
      <c r="R14" s="184">
        <f>+'1. DADOS OPERACIONAIS'!R15</f>
        <v>12</v>
      </c>
      <c r="S14" s="184">
        <f>+'1. DADOS OPERACIONAIS'!S15</f>
        <v>12</v>
      </c>
      <c r="T14" s="185">
        <f>+'1. DADOS OPERACIONAIS'!T15</f>
        <v>12</v>
      </c>
    </row>
    <row r="15" spans="2:20">
      <c r="D15" s="2" t="s">
        <v>51</v>
      </c>
      <c r="E15" s="166" t="s">
        <v>52</v>
      </c>
      <c r="F15" s="189">
        <f>+'2. COEFICIENTES'!F82</f>
        <v>2.21</v>
      </c>
      <c r="G15" s="190">
        <f>+'2. COEFICIENTES'!G82</f>
        <v>2.21</v>
      </c>
      <c r="H15" s="190">
        <f>+'2. COEFICIENTES'!H82</f>
        <v>2.21</v>
      </c>
      <c r="I15" s="190">
        <f>+'2. COEFICIENTES'!I82</f>
        <v>2.21</v>
      </c>
      <c r="J15" s="190">
        <f>+'2. COEFICIENTES'!J82</f>
        <v>2.21</v>
      </c>
      <c r="K15" s="190">
        <f>+'2. COEFICIENTES'!K82</f>
        <v>2.21</v>
      </c>
      <c r="L15" s="190">
        <f>+'2. COEFICIENTES'!L82</f>
        <v>2.21</v>
      </c>
      <c r="M15" s="190">
        <f>+'2. COEFICIENTES'!M82</f>
        <v>2.21</v>
      </c>
      <c r="N15" s="190">
        <f>+'2. COEFICIENTES'!N82</f>
        <v>2.21</v>
      </c>
      <c r="O15" s="190">
        <f>+'2. COEFICIENTES'!O82</f>
        <v>2.21</v>
      </c>
      <c r="P15" s="190">
        <f>+'2. COEFICIENTES'!P82</f>
        <v>2.21</v>
      </c>
      <c r="Q15" s="190">
        <f>+'2. COEFICIENTES'!Q82</f>
        <v>2.21</v>
      </c>
      <c r="R15" s="190">
        <f>+'2. COEFICIENTES'!R82</f>
        <v>2.21</v>
      </c>
      <c r="S15" s="190">
        <f>+'2. COEFICIENTES'!S82</f>
        <v>2.21</v>
      </c>
      <c r="T15" s="191">
        <f>+'2. COEFICIENTES'!T82</f>
        <v>2.21</v>
      </c>
    </row>
    <row r="16" spans="2:20">
      <c r="D16" s="2" t="s">
        <v>121</v>
      </c>
      <c r="E16" s="166" t="s">
        <v>120</v>
      </c>
      <c r="F16" s="186">
        <f>+'3. PREÇOS INSUMOS'!G178</f>
        <v>1919.66</v>
      </c>
      <c r="G16" s="187">
        <f>+'3. PREÇOS INSUMOS'!H178</f>
        <v>1919.66</v>
      </c>
      <c r="H16" s="187">
        <f>+'3. PREÇOS INSUMOS'!I178</f>
        <v>1919.66</v>
      </c>
      <c r="I16" s="187">
        <f>+'3. PREÇOS INSUMOS'!J178</f>
        <v>1919.66</v>
      </c>
      <c r="J16" s="187">
        <f>+'3. PREÇOS INSUMOS'!K178</f>
        <v>1919.66</v>
      </c>
      <c r="K16" s="187">
        <f>+'3. PREÇOS INSUMOS'!L178</f>
        <v>1919.66</v>
      </c>
      <c r="L16" s="187">
        <f>+'3. PREÇOS INSUMOS'!M178</f>
        <v>1919.66</v>
      </c>
      <c r="M16" s="187">
        <f>+'3. PREÇOS INSUMOS'!N178</f>
        <v>1919.66</v>
      </c>
      <c r="N16" s="187">
        <f>+'3. PREÇOS INSUMOS'!O178</f>
        <v>1919.66</v>
      </c>
      <c r="O16" s="187">
        <f>+'3. PREÇOS INSUMOS'!P178</f>
        <v>1919.66</v>
      </c>
      <c r="P16" s="187">
        <f>+'3. PREÇOS INSUMOS'!Q178</f>
        <v>1919.66</v>
      </c>
      <c r="Q16" s="187">
        <f>+'3. PREÇOS INSUMOS'!R178</f>
        <v>1919.66</v>
      </c>
      <c r="R16" s="187">
        <f>+'3. PREÇOS INSUMOS'!S178</f>
        <v>1919.66</v>
      </c>
      <c r="S16" s="187">
        <f>+'3. PREÇOS INSUMOS'!T178</f>
        <v>1919.66</v>
      </c>
      <c r="T16" s="188">
        <f>+'3. PREÇOS INSUMOS'!U178</f>
        <v>1919.66</v>
      </c>
    </row>
    <row r="17" spans="3:20">
      <c r="D17" s="2" t="s">
        <v>117</v>
      </c>
      <c r="E17" s="166" t="s">
        <v>122</v>
      </c>
      <c r="F17" s="193">
        <f>'2. COEFICIENTES'!$F$119</f>
        <v>0.42713000000000001</v>
      </c>
      <c r="G17" s="194">
        <f>'2. COEFICIENTES'!G119</f>
        <v>0.65419000000000005</v>
      </c>
      <c r="H17" s="194">
        <f>'2. COEFICIENTES'!H119</f>
        <v>0.65419000000000005</v>
      </c>
      <c r="I17" s="194">
        <f>'2. COEFICIENTES'!I119</f>
        <v>0.65419000000000005</v>
      </c>
      <c r="J17" s="194">
        <f>'2. COEFICIENTES'!J119</f>
        <v>0.65419000000000005</v>
      </c>
      <c r="K17" s="194">
        <f>'2. COEFICIENTES'!K119</f>
        <v>0.65419000000000005</v>
      </c>
      <c r="L17" s="194">
        <f>'2. COEFICIENTES'!L119</f>
        <v>0.65419000000000005</v>
      </c>
      <c r="M17" s="194">
        <f>'2. COEFICIENTES'!M119</f>
        <v>0.65419000000000005</v>
      </c>
      <c r="N17" s="194">
        <f>'2. COEFICIENTES'!N119</f>
        <v>0.65419000000000005</v>
      </c>
      <c r="O17" s="194">
        <f>'2. COEFICIENTES'!O119</f>
        <v>0.65419000000000005</v>
      </c>
      <c r="P17" s="194">
        <f>'2. COEFICIENTES'!P119</f>
        <v>0.65419000000000005</v>
      </c>
      <c r="Q17" s="194">
        <f>'2. COEFICIENTES'!Q119</f>
        <v>0.65419000000000005</v>
      </c>
      <c r="R17" s="194">
        <f>'2. COEFICIENTES'!R119</f>
        <v>0.65419000000000005</v>
      </c>
      <c r="S17" s="194">
        <f>'2. COEFICIENTES'!S119</f>
        <v>0.65419000000000005</v>
      </c>
      <c r="T17" s="195">
        <f>'2. COEFICIENTES'!T119</f>
        <v>0.65419000000000005</v>
      </c>
    </row>
    <row r="18" spans="3:20">
      <c r="C18" s="174"/>
      <c r="D18" s="174" t="s">
        <v>155</v>
      </c>
      <c r="E18" s="176" t="s">
        <v>70</v>
      </c>
      <c r="F18" s="196">
        <f>(F14*F15*F16)*(1+F17)</f>
        <v>72654.308046216</v>
      </c>
      <c r="G18" s="197">
        <f t="shared" ref="G18:T18" si="1">(G14*G15*G16)*(1+G17)</f>
        <v>84213.792595608014</v>
      </c>
      <c r="H18" s="197">
        <f t="shared" si="1"/>
        <v>84213.792595608014</v>
      </c>
      <c r="I18" s="197">
        <f t="shared" si="1"/>
        <v>84213.792595608014</v>
      </c>
      <c r="J18" s="197">
        <f t="shared" si="1"/>
        <v>84213.792595608014</v>
      </c>
      <c r="K18" s="197">
        <f t="shared" si="1"/>
        <v>84213.792595608014</v>
      </c>
      <c r="L18" s="197">
        <f t="shared" si="1"/>
        <v>84213.792595608014</v>
      </c>
      <c r="M18" s="197">
        <f t="shared" si="1"/>
        <v>84213.792595608014</v>
      </c>
      <c r="N18" s="197">
        <f t="shared" si="1"/>
        <v>84213.792595608014</v>
      </c>
      <c r="O18" s="197">
        <f t="shared" si="1"/>
        <v>84213.792595608014</v>
      </c>
      <c r="P18" s="197">
        <f t="shared" si="1"/>
        <v>84213.792595608014</v>
      </c>
      <c r="Q18" s="197">
        <f t="shared" si="1"/>
        <v>84213.792595608014</v>
      </c>
      <c r="R18" s="197">
        <f t="shared" si="1"/>
        <v>84213.792595608014</v>
      </c>
      <c r="S18" s="197">
        <f t="shared" si="1"/>
        <v>84213.792595608014</v>
      </c>
      <c r="T18" s="198">
        <f t="shared" si="1"/>
        <v>84213.792595608014</v>
      </c>
    </row>
    <row r="19" spans="3:20">
      <c r="C19" s="174"/>
      <c r="D19" s="175" t="s">
        <v>155</v>
      </c>
      <c r="E19" s="211" t="s">
        <v>158</v>
      </c>
      <c r="F19" s="196">
        <f t="shared" ref="F19:T19" si="2">+F18*12</f>
        <v>871851.696554592</v>
      </c>
      <c r="G19" s="197">
        <f t="shared" si="2"/>
        <v>1010565.5111472962</v>
      </c>
      <c r="H19" s="197">
        <f t="shared" si="2"/>
        <v>1010565.5111472962</v>
      </c>
      <c r="I19" s="197">
        <f t="shared" si="2"/>
        <v>1010565.5111472962</v>
      </c>
      <c r="J19" s="197">
        <f t="shared" si="2"/>
        <v>1010565.5111472962</v>
      </c>
      <c r="K19" s="197">
        <f t="shared" si="2"/>
        <v>1010565.5111472962</v>
      </c>
      <c r="L19" s="197">
        <f t="shared" si="2"/>
        <v>1010565.5111472962</v>
      </c>
      <c r="M19" s="197">
        <f t="shared" si="2"/>
        <v>1010565.5111472962</v>
      </c>
      <c r="N19" s="197">
        <f t="shared" si="2"/>
        <v>1010565.5111472962</v>
      </c>
      <c r="O19" s="197">
        <f t="shared" si="2"/>
        <v>1010565.5111472962</v>
      </c>
      <c r="P19" s="197">
        <f t="shared" si="2"/>
        <v>1010565.5111472962</v>
      </c>
      <c r="Q19" s="197">
        <f t="shared" si="2"/>
        <v>1010565.5111472962</v>
      </c>
      <c r="R19" s="197">
        <f t="shared" si="2"/>
        <v>1010565.5111472962</v>
      </c>
      <c r="S19" s="197">
        <f t="shared" si="2"/>
        <v>1010565.5111472962</v>
      </c>
      <c r="T19" s="198">
        <f t="shared" si="2"/>
        <v>1010565.5111472962</v>
      </c>
    </row>
    <row r="21" spans="3:20" ht="15.75">
      <c r="C21" s="381" t="str">
        <f>+MENU!$C$76</f>
        <v>5.1.2. - CUSTEIOS COM PESSOAL DE FISCALIZAÇÃO</v>
      </c>
    </row>
    <row r="22" spans="3:20">
      <c r="C22" s="4"/>
    </row>
    <row r="23" spans="3:20" ht="18" customHeight="1">
      <c r="C23" s="694" t="s">
        <v>149</v>
      </c>
      <c r="D23" s="694"/>
      <c r="E23" s="34" t="s">
        <v>6</v>
      </c>
      <c r="F23" s="586">
        <v>1</v>
      </c>
      <c r="G23" s="572">
        <f t="shared" ref="G23:T23" si="3">+F23+1</f>
        <v>2</v>
      </c>
      <c r="H23" s="572">
        <f t="shared" si="3"/>
        <v>3</v>
      </c>
      <c r="I23" s="572">
        <f t="shared" si="3"/>
        <v>4</v>
      </c>
      <c r="J23" s="572">
        <f t="shared" si="3"/>
        <v>5</v>
      </c>
      <c r="K23" s="572">
        <f t="shared" si="3"/>
        <v>6</v>
      </c>
      <c r="L23" s="572">
        <f t="shared" si="3"/>
        <v>7</v>
      </c>
      <c r="M23" s="572">
        <f t="shared" si="3"/>
        <v>8</v>
      </c>
      <c r="N23" s="572">
        <f t="shared" si="3"/>
        <v>9</v>
      </c>
      <c r="O23" s="572">
        <f t="shared" si="3"/>
        <v>10</v>
      </c>
      <c r="P23" s="572">
        <f t="shared" si="3"/>
        <v>11</v>
      </c>
      <c r="Q23" s="572">
        <f t="shared" si="3"/>
        <v>12</v>
      </c>
      <c r="R23" s="572">
        <f t="shared" si="3"/>
        <v>13</v>
      </c>
      <c r="S23" s="572">
        <f t="shared" si="3"/>
        <v>14</v>
      </c>
      <c r="T23" s="573">
        <f t="shared" si="3"/>
        <v>15</v>
      </c>
    </row>
    <row r="24" spans="3:20">
      <c r="D24" s="2" t="str">
        <f>"FROTA OPERACIONAL"</f>
        <v>FROTA OPERACIONAL</v>
      </c>
      <c r="E24" s="166" t="s">
        <v>118</v>
      </c>
      <c r="F24" s="183">
        <f>+'1. DADOS OPERACIONAIS'!F15</f>
        <v>12</v>
      </c>
      <c r="G24" s="184">
        <f>+'1. DADOS OPERACIONAIS'!G15</f>
        <v>12</v>
      </c>
      <c r="H24" s="184">
        <f>+'1. DADOS OPERACIONAIS'!H15</f>
        <v>12</v>
      </c>
      <c r="I24" s="184">
        <f>+'1. DADOS OPERACIONAIS'!I15</f>
        <v>12</v>
      </c>
      <c r="J24" s="184">
        <f>+'1. DADOS OPERACIONAIS'!J15</f>
        <v>12</v>
      </c>
      <c r="K24" s="184">
        <f>+'1. DADOS OPERACIONAIS'!K15</f>
        <v>12</v>
      </c>
      <c r="L24" s="184">
        <f>+'1. DADOS OPERACIONAIS'!L15</f>
        <v>12</v>
      </c>
      <c r="M24" s="184">
        <f>+'1. DADOS OPERACIONAIS'!M15</f>
        <v>12</v>
      </c>
      <c r="N24" s="184">
        <f>+'1. DADOS OPERACIONAIS'!N15</f>
        <v>12</v>
      </c>
      <c r="O24" s="184">
        <f>+'1. DADOS OPERACIONAIS'!O15</f>
        <v>12</v>
      </c>
      <c r="P24" s="184">
        <f>+'1. DADOS OPERACIONAIS'!P15</f>
        <v>12</v>
      </c>
      <c r="Q24" s="184">
        <f>+'1. DADOS OPERACIONAIS'!Q15</f>
        <v>12</v>
      </c>
      <c r="R24" s="184">
        <f>+'1. DADOS OPERACIONAIS'!R15</f>
        <v>12</v>
      </c>
      <c r="S24" s="184">
        <f>+'1. DADOS OPERACIONAIS'!S15</f>
        <v>12</v>
      </c>
      <c r="T24" s="185">
        <f>+'1. DADOS OPERACIONAIS'!T15</f>
        <v>12</v>
      </c>
    </row>
    <row r="25" spans="3:20">
      <c r="D25" s="2" t="s">
        <v>51</v>
      </c>
      <c r="E25" s="166" t="s">
        <v>119</v>
      </c>
      <c r="F25" s="189">
        <f>+'2. COEFICIENTES'!F83</f>
        <v>0.2</v>
      </c>
      <c r="G25" s="190">
        <f>+'2. COEFICIENTES'!G83</f>
        <v>0.2</v>
      </c>
      <c r="H25" s="190">
        <f>+'2. COEFICIENTES'!H83</f>
        <v>0.2</v>
      </c>
      <c r="I25" s="190">
        <f>+'2. COEFICIENTES'!I83</f>
        <v>0.2</v>
      </c>
      <c r="J25" s="190">
        <f>+'2. COEFICIENTES'!J83</f>
        <v>0.2</v>
      </c>
      <c r="K25" s="190">
        <f>+'2. COEFICIENTES'!K83</f>
        <v>0.2</v>
      </c>
      <c r="L25" s="190">
        <f>+'2. COEFICIENTES'!L83</f>
        <v>0.2</v>
      </c>
      <c r="M25" s="190">
        <f>+'2. COEFICIENTES'!M83</f>
        <v>0.2</v>
      </c>
      <c r="N25" s="190">
        <f>+'2. COEFICIENTES'!N83</f>
        <v>0.2</v>
      </c>
      <c r="O25" s="190">
        <f>+'2. COEFICIENTES'!O83</f>
        <v>0.2</v>
      </c>
      <c r="P25" s="190">
        <f>+'2. COEFICIENTES'!P83</f>
        <v>0.2</v>
      </c>
      <c r="Q25" s="190">
        <f>+'2. COEFICIENTES'!Q83</f>
        <v>0.2</v>
      </c>
      <c r="R25" s="190">
        <f>+'2. COEFICIENTES'!R83</f>
        <v>0.2</v>
      </c>
      <c r="S25" s="190">
        <f>+'2. COEFICIENTES'!S83</f>
        <v>0.2</v>
      </c>
      <c r="T25" s="191">
        <f>+'2. COEFICIENTES'!T83</f>
        <v>0.2</v>
      </c>
    </row>
    <row r="26" spans="3:20">
      <c r="D26" s="2" t="s">
        <v>121</v>
      </c>
      <c r="E26" s="166" t="s">
        <v>120</v>
      </c>
      <c r="F26" s="186">
        <f>+'3. PREÇOS INSUMOS'!G179</f>
        <v>2204.9899999999998</v>
      </c>
      <c r="G26" s="187">
        <f>+'3. PREÇOS INSUMOS'!H179</f>
        <v>2204.9899999999998</v>
      </c>
      <c r="H26" s="187">
        <f>+'3. PREÇOS INSUMOS'!I179</f>
        <v>2204.9899999999998</v>
      </c>
      <c r="I26" s="187">
        <f>+'3. PREÇOS INSUMOS'!J179</f>
        <v>2204.9899999999998</v>
      </c>
      <c r="J26" s="187">
        <f>+'3. PREÇOS INSUMOS'!K179</f>
        <v>2204.9899999999998</v>
      </c>
      <c r="K26" s="187">
        <f>+'3. PREÇOS INSUMOS'!L179</f>
        <v>2204.9899999999998</v>
      </c>
      <c r="L26" s="187">
        <f>+'3. PREÇOS INSUMOS'!M179</f>
        <v>2204.9899999999998</v>
      </c>
      <c r="M26" s="187">
        <f>+'3. PREÇOS INSUMOS'!N179</f>
        <v>2204.9899999999998</v>
      </c>
      <c r="N26" s="187">
        <f>+'3. PREÇOS INSUMOS'!O179</f>
        <v>2204.9899999999998</v>
      </c>
      <c r="O26" s="187">
        <f>+'3. PREÇOS INSUMOS'!P179</f>
        <v>2204.9899999999998</v>
      </c>
      <c r="P26" s="187">
        <f>+'3. PREÇOS INSUMOS'!Q179</f>
        <v>2204.9899999999998</v>
      </c>
      <c r="Q26" s="187">
        <f>+'3. PREÇOS INSUMOS'!R179</f>
        <v>2204.9899999999998</v>
      </c>
      <c r="R26" s="187">
        <f>+'3. PREÇOS INSUMOS'!S179</f>
        <v>2204.9899999999998</v>
      </c>
      <c r="S26" s="187">
        <f>+'3. PREÇOS INSUMOS'!T179</f>
        <v>2204.9899999999998</v>
      </c>
      <c r="T26" s="188">
        <f>+'3. PREÇOS INSUMOS'!U179</f>
        <v>2204.9899999999998</v>
      </c>
    </row>
    <row r="27" spans="3:20">
      <c r="D27" s="2" t="s">
        <v>117</v>
      </c>
      <c r="E27" s="166" t="s">
        <v>122</v>
      </c>
      <c r="F27" s="193">
        <f>'2. COEFICIENTES'!F119</f>
        <v>0.42713000000000001</v>
      </c>
      <c r="G27" s="194">
        <f>'2. COEFICIENTES'!G119</f>
        <v>0.65419000000000005</v>
      </c>
      <c r="H27" s="194">
        <f>'2. COEFICIENTES'!H119</f>
        <v>0.65419000000000005</v>
      </c>
      <c r="I27" s="194">
        <f>'2. COEFICIENTES'!I119</f>
        <v>0.65419000000000005</v>
      </c>
      <c r="J27" s="194">
        <f>'2. COEFICIENTES'!J119</f>
        <v>0.65419000000000005</v>
      </c>
      <c r="K27" s="194">
        <f>'2. COEFICIENTES'!K119</f>
        <v>0.65419000000000005</v>
      </c>
      <c r="L27" s="194">
        <f>'2. COEFICIENTES'!L119</f>
        <v>0.65419000000000005</v>
      </c>
      <c r="M27" s="194">
        <f>'2. COEFICIENTES'!M119</f>
        <v>0.65419000000000005</v>
      </c>
      <c r="N27" s="194">
        <f>'2. COEFICIENTES'!N119</f>
        <v>0.65419000000000005</v>
      </c>
      <c r="O27" s="194">
        <f>'2. COEFICIENTES'!O119</f>
        <v>0.65419000000000005</v>
      </c>
      <c r="P27" s="194">
        <f>'2. COEFICIENTES'!P119</f>
        <v>0.65419000000000005</v>
      </c>
      <c r="Q27" s="194">
        <f>'2. COEFICIENTES'!Q119</f>
        <v>0.65419000000000005</v>
      </c>
      <c r="R27" s="194">
        <f>'2. COEFICIENTES'!R119</f>
        <v>0.65419000000000005</v>
      </c>
      <c r="S27" s="194">
        <f>'2. COEFICIENTES'!S119</f>
        <v>0.65419000000000005</v>
      </c>
      <c r="T27" s="195">
        <f>'2. COEFICIENTES'!T119</f>
        <v>0.65419000000000005</v>
      </c>
    </row>
    <row r="28" spans="3:20">
      <c r="C28" s="174"/>
      <c r="D28" s="174" t="s">
        <v>154</v>
      </c>
      <c r="E28" s="176" t="s">
        <v>70</v>
      </c>
      <c r="F28" s="196">
        <f t="shared" ref="F28:T28" si="4">(F24*F25*F26)*(1+F27)</f>
        <v>7552.3377088800007</v>
      </c>
      <c r="G28" s="197">
        <f t="shared" si="4"/>
        <v>8753.9337794400017</v>
      </c>
      <c r="H28" s="197">
        <f t="shared" si="4"/>
        <v>8753.9337794400017</v>
      </c>
      <c r="I28" s="197">
        <f t="shared" si="4"/>
        <v>8753.9337794400017</v>
      </c>
      <c r="J28" s="197">
        <f t="shared" si="4"/>
        <v>8753.9337794400017</v>
      </c>
      <c r="K28" s="197">
        <f t="shared" si="4"/>
        <v>8753.9337794400017</v>
      </c>
      <c r="L28" s="197">
        <f t="shared" si="4"/>
        <v>8753.9337794400017</v>
      </c>
      <c r="M28" s="197">
        <f t="shared" si="4"/>
        <v>8753.9337794400017</v>
      </c>
      <c r="N28" s="197">
        <f t="shared" si="4"/>
        <v>8753.9337794400017</v>
      </c>
      <c r="O28" s="197">
        <f t="shared" si="4"/>
        <v>8753.9337794400017</v>
      </c>
      <c r="P28" s="197">
        <f t="shared" si="4"/>
        <v>8753.9337794400017</v>
      </c>
      <c r="Q28" s="197">
        <f t="shared" si="4"/>
        <v>8753.9337794400017</v>
      </c>
      <c r="R28" s="197">
        <f t="shared" si="4"/>
        <v>8753.9337794400017</v>
      </c>
      <c r="S28" s="197">
        <f t="shared" si="4"/>
        <v>8753.9337794400017</v>
      </c>
      <c r="T28" s="198">
        <f t="shared" si="4"/>
        <v>8753.9337794400017</v>
      </c>
    </row>
    <row r="29" spans="3:20">
      <c r="C29" s="175"/>
      <c r="D29" s="175" t="s">
        <v>154</v>
      </c>
      <c r="E29" s="211" t="s">
        <v>158</v>
      </c>
      <c r="F29" s="196">
        <f t="shared" ref="F29:T29" si="5">+F28*12</f>
        <v>90628.052506560009</v>
      </c>
      <c r="G29" s="197">
        <f t="shared" si="5"/>
        <v>105047.20535328002</v>
      </c>
      <c r="H29" s="197">
        <f t="shared" si="5"/>
        <v>105047.20535328002</v>
      </c>
      <c r="I29" s="197">
        <f t="shared" si="5"/>
        <v>105047.20535328002</v>
      </c>
      <c r="J29" s="197">
        <f t="shared" si="5"/>
        <v>105047.20535328002</v>
      </c>
      <c r="K29" s="197">
        <f t="shared" si="5"/>
        <v>105047.20535328002</v>
      </c>
      <c r="L29" s="197">
        <f t="shared" si="5"/>
        <v>105047.20535328002</v>
      </c>
      <c r="M29" s="197">
        <f t="shared" si="5"/>
        <v>105047.20535328002</v>
      </c>
      <c r="N29" s="197">
        <f t="shared" si="5"/>
        <v>105047.20535328002</v>
      </c>
      <c r="O29" s="197">
        <f t="shared" si="5"/>
        <v>105047.20535328002</v>
      </c>
      <c r="P29" s="197">
        <f t="shared" si="5"/>
        <v>105047.20535328002</v>
      </c>
      <c r="Q29" s="197">
        <f t="shared" si="5"/>
        <v>105047.20535328002</v>
      </c>
      <c r="R29" s="197">
        <f t="shared" si="5"/>
        <v>105047.20535328002</v>
      </c>
      <c r="S29" s="197">
        <f t="shared" si="5"/>
        <v>105047.20535328002</v>
      </c>
      <c r="T29" s="198">
        <f t="shared" si="5"/>
        <v>105047.20535328002</v>
      </c>
    </row>
    <row r="31" spans="3:20" ht="15.75">
      <c r="C31" s="381" t="str">
        <f>+MENU!$C$77</f>
        <v>5.1.3. - CUSTEIOS COM COBRADOR</v>
      </c>
    </row>
    <row r="32" spans="3:20">
      <c r="C32" s="4"/>
    </row>
    <row r="33" spans="3:20" ht="18" customHeight="1">
      <c r="C33" s="694" t="s">
        <v>151</v>
      </c>
      <c r="D33" s="694"/>
      <c r="E33" s="34" t="s">
        <v>6</v>
      </c>
      <c r="F33" s="586">
        <v>1</v>
      </c>
      <c r="G33" s="572">
        <f t="shared" ref="G33:T33" si="6">+F33+1</f>
        <v>2</v>
      </c>
      <c r="H33" s="572">
        <f t="shared" si="6"/>
        <v>3</v>
      </c>
      <c r="I33" s="572">
        <f t="shared" si="6"/>
        <v>4</v>
      </c>
      <c r="J33" s="572">
        <f t="shared" si="6"/>
        <v>5</v>
      </c>
      <c r="K33" s="572">
        <f t="shared" si="6"/>
        <v>6</v>
      </c>
      <c r="L33" s="572">
        <f t="shared" si="6"/>
        <v>7</v>
      </c>
      <c r="M33" s="572">
        <f t="shared" si="6"/>
        <v>8</v>
      </c>
      <c r="N33" s="572">
        <f t="shared" si="6"/>
        <v>9</v>
      </c>
      <c r="O33" s="572">
        <f t="shared" si="6"/>
        <v>10</v>
      </c>
      <c r="P33" s="572">
        <f t="shared" si="6"/>
        <v>11</v>
      </c>
      <c r="Q33" s="572">
        <f t="shared" si="6"/>
        <v>12</v>
      </c>
      <c r="R33" s="572">
        <f t="shared" si="6"/>
        <v>13</v>
      </c>
      <c r="S33" s="572">
        <f t="shared" si="6"/>
        <v>14</v>
      </c>
      <c r="T33" s="573">
        <f t="shared" si="6"/>
        <v>15</v>
      </c>
    </row>
    <row r="34" spans="3:20">
      <c r="D34" s="2" t="str">
        <f>"FROTA OPERACIONAL"</f>
        <v>FROTA OPERACIONAL</v>
      </c>
      <c r="E34" s="166" t="s">
        <v>118</v>
      </c>
      <c r="F34" s="183">
        <f>+'1. DADOS OPERACIONAIS'!F15</f>
        <v>12</v>
      </c>
      <c r="G34" s="184">
        <f>+'1. DADOS OPERACIONAIS'!G15</f>
        <v>12</v>
      </c>
      <c r="H34" s="184">
        <f>+'1. DADOS OPERACIONAIS'!H15</f>
        <v>12</v>
      </c>
      <c r="I34" s="184">
        <f>+'1. DADOS OPERACIONAIS'!I15</f>
        <v>12</v>
      </c>
      <c r="J34" s="184">
        <f>+'1. DADOS OPERACIONAIS'!J15</f>
        <v>12</v>
      </c>
      <c r="K34" s="184">
        <f>+'1. DADOS OPERACIONAIS'!K15</f>
        <v>12</v>
      </c>
      <c r="L34" s="184">
        <f>+'1. DADOS OPERACIONAIS'!L15</f>
        <v>12</v>
      </c>
      <c r="M34" s="184">
        <f>+'1. DADOS OPERACIONAIS'!M15</f>
        <v>12</v>
      </c>
      <c r="N34" s="184">
        <f>+'1. DADOS OPERACIONAIS'!N15</f>
        <v>12</v>
      </c>
      <c r="O34" s="184">
        <f>+'1. DADOS OPERACIONAIS'!O15</f>
        <v>12</v>
      </c>
      <c r="P34" s="184">
        <f>+'1. DADOS OPERACIONAIS'!P15</f>
        <v>12</v>
      </c>
      <c r="Q34" s="184">
        <f>+'1. DADOS OPERACIONAIS'!Q15</f>
        <v>12</v>
      </c>
      <c r="R34" s="184">
        <f>+'1. DADOS OPERACIONAIS'!R15</f>
        <v>12</v>
      </c>
      <c r="S34" s="184">
        <f>+'1. DADOS OPERACIONAIS'!S15</f>
        <v>12</v>
      </c>
      <c r="T34" s="185">
        <f>+'1. DADOS OPERACIONAIS'!T15</f>
        <v>12</v>
      </c>
    </row>
    <row r="35" spans="3:20">
      <c r="D35" s="2" t="s">
        <v>51</v>
      </c>
      <c r="E35" s="166" t="s">
        <v>119</v>
      </c>
      <c r="F35" s="189">
        <f>+'2. COEFICIENTES'!F84</f>
        <v>0.2</v>
      </c>
      <c r="G35" s="190">
        <f>+'2. COEFICIENTES'!G84</f>
        <v>0.2</v>
      </c>
      <c r="H35" s="190">
        <f>+'2. COEFICIENTES'!H84</f>
        <v>0.2</v>
      </c>
      <c r="I35" s="190">
        <f>+'2. COEFICIENTES'!I84</f>
        <v>0.2</v>
      </c>
      <c r="J35" s="190">
        <f>+'2. COEFICIENTES'!J84</f>
        <v>0.2</v>
      </c>
      <c r="K35" s="190">
        <f>+'2. COEFICIENTES'!K84</f>
        <v>0.2</v>
      </c>
      <c r="L35" s="190">
        <f>+'2. COEFICIENTES'!L84</f>
        <v>0.2</v>
      </c>
      <c r="M35" s="190">
        <f>+'2. COEFICIENTES'!M84</f>
        <v>0.2</v>
      </c>
      <c r="N35" s="190">
        <f>+'2. COEFICIENTES'!N84</f>
        <v>0.2</v>
      </c>
      <c r="O35" s="190">
        <f>+'2. COEFICIENTES'!O84</f>
        <v>0.2</v>
      </c>
      <c r="P35" s="190">
        <f>+'2. COEFICIENTES'!P84</f>
        <v>0.2</v>
      </c>
      <c r="Q35" s="190">
        <f>+'2. COEFICIENTES'!Q84</f>
        <v>0.2</v>
      </c>
      <c r="R35" s="190">
        <f>+'2. COEFICIENTES'!R84</f>
        <v>0.2</v>
      </c>
      <c r="S35" s="190">
        <f>+'2. COEFICIENTES'!S84</f>
        <v>0.2</v>
      </c>
      <c r="T35" s="191">
        <f>+'2. COEFICIENTES'!T84</f>
        <v>0.2</v>
      </c>
    </row>
    <row r="36" spans="3:20">
      <c r="D36" s="2" t="s">
        <v>121</v>
      </c>
      <c r="E36" s="166" t="s">
        <v>120</v>
      </c>
      <c r="F36" s="186">
        <f>+'3. PREÇOS INSUMOS'!G180</f>
        <v>1200.56</v>
      </c>
      <c r="G36" s="187">
        <f>+'3. PREÇOS INSUMOS'!H180</f>
        <v>1200.56</v>
      </c>
      <c r="H36" s="187">
        <f>+'3. PREÇOS INSUMOS'!I180</f>
        <v>1200.56</v>
      </c>
      <c r="I36" s="187">
        <f>+'3. PREÇOS INSUMOS'!J180</f>
        <v>1200.56</v>
      </c>
      <c r="J36" s="187">
        <f>+'3. PREÇOS INSUMOS'!K180</f>
        <v>1200.56</v>
      </c>
      <c r="K36" s="187">
        <f>+'3. PREÇOS INSUMOS'!L180</f>
        <v>1200.56</v>
      </c>
      <c r="L36" s="187">
        <f>+'3. PREÇOS INSUMOS'!M180</f>
        <v>1200.56</v>
      </c>
      <c r="M36" s="187">
        <f>+'3. PREÇOS INSUMOS'!N180</f>
        <v>1200.56</v>
      </c>
      <c r="N36" s="187">
        <f>+'3. PREÇOS INSUMOS'!O180</f>
        <v>1200.56</v>
      </c>
      <c r="O36" s="187">
        <f>+'3. PREÇOS INSUMOS'!P180</f>
        <v>1200.56</v>
      </c>
      <c r="P36" s="187">
        <f>+'3. PREÇOS INSUMOS'!Q180</f>
        <v>1200.56</v>
      </c>
      <c r="Q36" s="187">
        <f>+'3. PREÇOS INSUMOS'!R180</f>
        <v>1200.56</v>
      </c>
      <c r="R36" s="187">
        <f>+'3. PREÇOS INSUMOS'!S180</f>
        <v>1200.56</v>
      </c>
      <c r="S36" s="187">
        <f>+'3. PREÇOS INSUMOS'!T180</f>
        <v>1200.56</v>
      </c>
      <c r="T36" s="188">
        <f>+'3. PREÇOS INSUMOS'!U180</f>
        <v>1200.56</v>
      </c>
    </row>
    <row r="37" spans="3:20">
      <c r="D37" s="2" t="s">
        <v>117</v>
      </c>
      <c r="E37" s="166" t="s">
        <v>122</v>
      </c>
      <c r="F37" s="193">
        <f>'2. COEFICIENTES'!F119</f>
        <v>0.42713000000000001</v>
      </c>
      <c r="G37" s="194">
        <f>'2. COEFICIENTES'!G119</f>
        <v>0.65419000000000005</v>
      </c>
      <c r="H37" s="194">
        <f>'2. COEFICIENTES'!H119</f>
        <v>0.65419000000000005</v>
      </c>
      <c r="I37" s="194">
        <f>'2. COEFICIENTES'!I119</f>
        <v>0.65419000000000005</v>
      </c>
      <c r="J37" s="194">
        <f>'2. COEFICIENTES'!J119</f>
        <v>0.65419000000000005</v>
      </c>
      <c r="K37" s="194">
        <f>'2. COEFICIENTES'!K119</f>
        <v>0.65419000000000005</v>
      </c>
      <c r="L37" s="194">
        <f>'2. COEFICIENTES'!L119</f>
        <v>0.65419000000000005</v>
      </c>
      <c r="M37" s="194">
        <f>'2. COEFICIENTES'!M119</f>
        <v>0.65419000000000005</v>
      </c>
      <c r="N37" s="194">
        <f>'2. COEFICIENTES'!N119</f>
        <v>0.65419000000000005</v>
      </c>
      <c r="O37" s="194">
        <f>'2. COEFICIENTES'!O119</f>
        <v>0.65419000000000005</v>
      </c>
      <c r="P37" s="194">
        <f>'2. COEFICIENTES'!P119</f>
        <v>0.65419000000000005</v>
      </c>
      <c r="Q37" s="194">
        <f>'2. COEFICIENTES'!Q119</f>
        <v>0.65419000000000005</v>
      </c>
      <c r="R37" s="194">
        <f>'2. COEFICIENTES'!R119</f>
        <v>0.65419000000000005</v>
      </c>
      <c r="S37" s="194">
        <f>'2. COEFICIENTES'!S119</f>
        <v>0.65419000000000005</v>
      </c>
      <c r="T37" s="195">
        <f>'2. COEFICIENTES'!T119</f>
        <v>0.65419000000000005</v>
      </c>
    </row>
    <row r="38" spans="3:20">
      <c r="C38" s="174"/>
      <c r="D38" s="174" t="s">
        <v>153</v>
      </c>
      <c r="E38" s="176" t="s">
        <v>70</v>
      </c>
      <c r="F38" s="196">
        <f t="shared" ref="F38:T38" si="7">(F34*F35*F36)*(1+F37)</f>
        <v>4112.0524627200011</v>
      </c>
      <c r="G38" s="197">
        <f t="shared" si="7"/>
        <v>4766.2904313600011</v>
      </c>
      <c r="H38" s="197">
        <f t="shared" si="7"/>
        <v>4766.2904313600011</v>
      </c>
      <c r="I38" s="197">
        <f t="shared" si="7"/>
        <v>4766.2904313600011</v>
      </c>
      <c r="J38" s="197">
        <f t="shared" si="7"/>
        <v>4766.2904313600011</v>
      </c>
      <c r="K38" s="197">
        <f t="shared" si="7"/>
        <v>4766.2904313600011</v>
      </c>
      <c r="L38" s="197">
        <f t="shared" si="7"/>
        <v>4766.2904313600011</v>
      </c>
      <c r="M38" s="197">
        <f t="shared" si="7"/>
        <v>4766.2904313600011</v>
      </c>
      <c r="N38" s="197">
        <f t="shared" si="7"/>
        <v>4766.2904313600011</v>
      </c>
      <c r="O38" s="197">
        <f t="shared" si="7"/>
        <v>4766.2904313600011</v>
      </c>
      <c r="P38" s="197">
        <f t="shared" si="7"/>
        <v>4766.2904313600011</v>
      </c>
      <c r="Q38" s="197">
        <f t="shared" si="7"/>
        <v>4766.2904313600011</v>
      </c>
      <c r="R38" s="197">
        <f t="shared" si="7"/>
        <v>4766.2904313600011</v>
      </c>
      <c r="S38" s="197">
        <f t="shared" si="7"/>
        <v>4766.2904313600011</v>
      </c>
      <c r="T38" s="198">
        <f t="shared" si="7"/>
        <v>4766.2904313600011</v>
      </c>
    </row>
    <row r="39" spans="3:20">
      <c r="C39" s="174"/>
      <c r="D39" s="175" t="s">
        <v>153</v>
      </c>
      <c r="E39" s="211" t="s">
        <v>158</v>
      </c>
      <c r="F39" s="196">
        <f>+F38*12</f>
        <v>49344.629552640014</v>
      </c>
      <c r="G39" s="197">
        <f t="shared" ref="G39:T39" si="8">+G38*12</f>
        <v>57195.485176320013</v>
      </c>
      <c r="H39" s="197">
        <f t="shared" si="8"/>
        <v>57195.485176320013</v>
      </c>
      <c r="I39" s="197">
        <f t="shared" si="8"/>
        <v>57195.485176320013</v>
      </c>
      <c r="J39" s="197">
        <f t="shared" si="8"/>
        <v>57195.485176320013</v>
      </c>
      <c r="K39" s="197">
        <f t="shared" si="8"/>
        <v>57195.485176320013</v>
      </c>
      <c r="L39" s="197">
        <f t="shared" si="8"/>
        <v>57195.485176320013</v>
      </c>
      <c r="M39" s="197">
        <f t="shared" si="8"/>
        <v>57195.485176320013</v>
      </c>
      <c r="N39" s="197">
        <f t="shared" si="8"/>
        <v>57195.485176320013</v>
      </c>
      <c r="O39" s="197">
        <f t="shared" si="8"/>
        <v>57195.485176320013</v>
      </c>
      <c r="P39" s="197">
        <f t="shared" si="8"/>
        <v>57195.485176320013</v>
      </c>
      <c r="Q39" s="197">
        <f t="shared" si="8"/>
        <v>57195.485176320013</v>
      </c>
      <c r="R39" s="197">
        <f t="shared" si="8"/>
        <v>57195.485176320013</v>
      </c>
      <c r="S39" s="197">
        <f t="shared" si="8"/>
        <v>57195.485176320013</v>
      </c>
      <c r="T39" s="198">
        <f t="shared" si="8"/>
        <v>57195.485176320013</v>
      </c>
    </row>
    <row r="41" spans="3:20">
      <c r="C41" s="174"/>
      <c r="D41" s="175" t="s">
        <v>159</v>
      </c>
      <c r="E41" s="176"/>
      <c r="F41" s="196">
        <f t="shared" ref="F41:T41" si="9">+F28+F18+F38</f>
        <v>84318.698217816011</v>
      </c>
      <c r="G41" s="197">
        <f t="shared" si="9"/>
        <v>97734.016806408021</v>
      </c>
      <c r="H41" s="197">
        <f t="shared" si="9"/>
        <v>97734.016806408021</v>
      </c>
      <c r="I41" s="197">
        <f t="shared" si="9"/>
        <v>97734.016806408021</v>
      </c>
      <c r="J41" s="197">
        <f t="shared" si="9"/>
        <v>97734.016806408021</v>
      </c>
      <c r="K41" s="197">
        <f t="shared" si="9"/>
        <v>97734.016806408021</v>
      </c>
      <c r="L41" s="197">
        <f t="shared" si="9"/>
        <v>97734.016806408021</v>
      </c>
      <c r="M41" s="197">
        <f t="shared" si="9"/>
        <v>97734.016806408021</v>
      </c>
      <c r="N41" s="197">
        <f t="shared" si="9"/>
        <v>97734.016806408021</v>
      </c>
      <c r="O41" s="197">
        <f t="shared" si="9"/>
        <v>97734.016806408021</v>
      </c>
      <c r="P41" s="197">
        <f t="shared" si="9"/>
        <v>97734.016806408021</v>
      </c>
      <c r="Q41" s="197">
        <f t="shared" si="9"/>
        <v>97734.016806408021</v>
      </c>
      <c r="R41" s="197">
        <f t="shared" si="9"/>
        <v>97734.016806408021</v>
      </c>
      <c r="S41" s="197">
        <f t="shared" si="9"/>
        <v>97734.016806408021</v>
      </c>
      <c r="T41" s="198">
        <f t="shared" si="9"/>
        <v>97734.016806408021</v>
      </c>
    </row>
    <row r="42" spans="3:20">
      <c r="C42" s="174"/>
      <c r="D42" s="175" t="s">
        <v>160</v>
      </c>
      <c r="E42" s="176"/>
      <c r="F42" s="196">
        <f t="shared" ref="F42:T42" si="10">+F29+F19+F39</f>
        <v>1011824.378613792</v>
      </c>
      <c r="G42" s="197">
        <f t="shared" si="10"/>
        <v>1172808.2016768961</v>
      </c>
      <c r="H42" s="197">
        <f t="shared" si="10"/>
        <v>1172808.2016768961</v>
      </c>
      <c r="I42" s="197">
        <f t="shared" si="10"/>
        <v>1172808.2016768961</v>
      </c>
      <c r="J42" s="197">
        <f t="shared" si="10"/>
        <v>1172808.2016768961</v>
      </c>
      <c r="K42" s="197">
        <f t="shared" si="10"/>
        <v>1172808.2016768961</v>
      </c>
      <c r="L42" s="197">
        <f t="shared" si="10"/>
        <v>1172808.2016768961</v>
      </c>
      <c r="M42" s="197">
        <f t="shared" si="10"/>
        <v>1172808.2016768961</v>
      </c>
      <c r="N42" s="197">
        <f t="shared" si="10"/>
        <v>1172808.2016768961</v>
      </c>
      <c r="O42" s="197">
        <f t="shared" si="10"/>
        <v>1172808.2016768961</v>
      </c>
      <c r="P42" s="197">
        <f t="shared" si="10"/>
        <v>1172808.2016768961</v>
      </c>
      <c r="Q42" s="197">
        <f t="shared" si="10"/>
        <v>1172808.2016768961</v>
      </c>
      <c r="R42" s="197">
        <f t="shared" si="10"/>
        <v>1172808.2016768961</v>
      </c>
      <c r="S42" s="197">
        <f t="shared" si="10"/>
        <v>1172808.2016768961</v>
      </c>
      <c r="T42" s="198">
        <f t="shared" si="10"/>
        <v>1172808.2016768961</v>
      </c>
    </row>
    <row r="45" spans="3:20" ht="15.75">
      <c r="C45" s="381" t="str">
        <f>+MENU!$C$78</f>
        <v>5.2. - CÁLCULO DOS CUSTEIOS COM PESSOAL DE MANUTENÇÃO</v>
      </c>
    </row>
    <row r="46" spans="3:20">
      <c r="C46" s="4"/>
    </row>
    <row r="47" spans="3:20" ht="18" customHeight="1">
      <c r="C47" s="694" t="s">
        <v>61</v>
      </c>
      <c r="D47" s="694"/>
      <c r="E47" s="34" t="s">
        <v>6</v>
      </c>
      <c r="F47" s="586">
        <v>1</v>
      </c>
      <c r="G47" s="572">
        <f t="shared" ref="G47:T47" si="11">+F47+1</f>
        <v>2</v>
      </c>
      <c r="H47" s="572">
        <f t="shared" si="11"/>
        <v>3</v>
      </c>
      <c r="I47" s="572">
        <f t="shared" si="11"/>
        <v>4</v>
      </c>
      <c r="J47" s="572">
        <f t="shared" si="11"/>
        <v>5</v>
      </c>
      <c r="K47" s="572">
        <f t="shared" si="11"/>
        <v>6</v>
      </c>
      <c r="L47" s="572">
        <f t="shared" si="11"/>
        <v>7</v>
      </c>
      <c r="M47" s="572">
        <f t="shared" si="11"/>
        <v>8</v>
      </c>
      <c r="N47" s="572">
        <f t="shared" si="11"/>
        <v>9</v>
      </c>
      <c r="O47" s="572">
        <f t="shared" si="11"/>
        <v>10</v>
      </c>
      <c r="P47" s="572">
        <f t="shared" si="11"/>
        <v>11</v>
      </c>
      <c r="Q47" s="572">
        <f t="shared" si="11"/>
        <v>12</v>
      </c>
      <c r="R47" s="572">
        <f t="shared" si="11"/>
        <v>13</v>
      </c>
      <c r="S47" s="572">
        <f t="shared" si="11"/>
        <v>14</v>
      </c>
      <c r="T47" s="573">
        <f t="shared" si="11"/>
        <v>15</v>
      </c>
    </row>
    <row r="48" spans="3:20">
      <c r="D48" s="2" t="s">
        <v>152</v>
      </c>
      <c r="E48" s="166" t="s">
        <v>70</v>
      </c>
      <c r="F48" s="199">
        <f>+F41</f>
        <v>84318.698217816011</v>
      </c>
      <c r="G48" s="200">
        <f t="shared" ref="G48:T48" si="12">+G41</f>
        <v>97734.016806408021</v>
      </c>
      <c r="H48" s="200">
        <f t="shared" si="12"/>
        <v>97734.016806408021</v>
      </c>
      <c r="I48" s="200">
        <f t="shared" si="12"/>
        <v>97734.016806408021</v>
      </c>
      <c r="J48" s="200">
        <f t="shared" si="12"/>
        <v>97734.016806408021</v>
      </c>
      <c r="K48" s="200">
        <f t="shared" si="12"/>
        <v>97734.016806408021</v>
      </c>
      <c r="L48" s="200">
        <f t="shared" si="12"/>
        <v>97734.016806408021</v>
      </c>
      <c r="M48" s="200">
        <f t="shared" si="12"/>
        <v>97734.016806408021</v>
      </c>
      <c r="N48" s="200">
        <f t="shared" si="12"/>
        <v>97734.016806408021</v>
      </c>
      <c r="O48" s="200">
        <f t="shared" si="12"/>
        <v>97734.016806408021</v>
      </c>
      <c r="P48" s="200">
        <f t="shared" si="12"/>
        <v>97734.016806408021</v>
      </c>
      <c r="Q48" s="200">
        <f t="shared" si="12"/>
        <v>97734.016806408021</v>
      </c>
      <c r="R48" s="200">
        <f t="shared" si="12"/>
        <v>97734.016806408021</v>
      </c>
      <c r="S48" s="200">
        <f t="shared" si="12"/>
        <v>97734.016806408021</v>
      </c>
      <c r="T48" s="201">
        <f t="shared" si="12"/>
        <v>97734.016806408021</v>
      </c>
    </row>
    <row r="49" spans="3:20">
      <c r="D49" s="2" t="s">
        <v>56</v>
      </c>
      <c r="E49" s="166" t="s">
        <v>122</v>
      </c>
      <c r="F49" s="193">
        <f>+'2. COEFICIENTES'!$F$97</f>
        <v>0.125</v>
      </c>
      <c r="G49" s="194">
        <f>+'2. COEFICIENTES'!G97</f>
        <v>0.125</v>
      </c>
      <c r="H49" s="194">
        <f>+'2. COEFICIENTES'!H97</f>
        <v>0.125</v>
      </c>
      <c r="I49" s="194">
        <f>+'2. COEFICIENTES'!I97</f>
        <v>0.125</v>
      </c>
      <c r="J49" s="194">
        <f>+'2. COEFICIENTES'!J97</f>
        <v>0.125</v>
      </c>
      <c r="K49" s="194">
        <f>+'2. COEFICIENTES'!K97</f>
        <v>0.125</v>
      </c>
      <c r="L49" s="194">
        <f>+'2. COEFICIENTES'!L97</f>
        <v>0.125</v>
      </c>
      <c r="M49" s="194">
        <f>+'2. COEFICIENTES'!M97</f>
        <v>0.125</v>
      </c>
      <c r="N49" s="194">
        <f>+'2. COEFICIENTES'!N97</f>
        <v>0.125</v>
      </c>
      <c r="O49" s="194">
        <f>+'2. COEFICIENTES'!O97</f>
        <v>0.125</v>
      </c>
      <c r="P49" s="194">
        <f>+'2. COEFICIENTES'!P97</f>
        <v>0.125</v>
      </c>
      <c r="Q49" s="194">
        <f>+'2. COEFICIENTES'!Q97</f>
        <v>0.125</v>
      </c>
      <c r="R49" s="194">
        <f>+'2. COEFICIENTES'!R97</f>
        <v>0.125</v>
      </c>
      <c r="S49" s="194">
        <f>+'2. COEFICIENTES'!S97</f>
        <v>0.125</v>
      </c>
      <c r="T49" s="195">
        <f>+'2. COEFICIENTES'!T97</f>
        <v>0.125</v>
      </c>
    </row>
    <row r="50" spans="3:20">
      <c r="C50" s="174"/>
      <c r="D50" s="174" t="s">
        <v>161</v>
      </c>
      <c r="E50" s="176" t="s">
        <v>70</v>
      </c>
      <c r="F50" s="196">
        <f>+F49*F48</f>
        <v>10539.837277227001</v>
      </c>
      <c r="G50" s="197">
        <f t="shared" ref="G50:T50" si="13">+G49*G48</f>
        <v>12216.752100801003</v>
      </c>
      <c r="H50" s="197">
        <f t="shared" si="13"/>
        <v>12216.752100801003</v>
      </c>
      <c r="I50" s="197">
        <f t="shared" si="13"/>
        <v>12216.752100801003</v>
      </c>
      <c r="J50" s="197">
        <f t="shared" si="13"/>
        <v>12216.752100801003</v>
      </c>
      <c r="K50" s="197">
        <f t="shared" si="13"/>
        <v>12216.752100801003</v>
      </c>
      <c r="L50" s="197">
        <f t="shared" si="13"/>
        <v>12216.752100801003</v>
      </c>
      <c r="M50" s="197">
        <f t="shared" si="13"/>
        <v>12216.752100801003</v>
      </c>
      <c r="N50" s="197">
        <f t="shared" si="13"/>
        <v>12216.752100801003</v>
      </c>
      <c r="O50" s="197">
        <f t="shared" si="13"/>
        <v>12216.752100801003</v>
      </c>
      <c r="P50" s="197">
        <f t="shared" si="13"/>
        <v>12216.752100801003</v>
      </c>
      <c r="Q50" s="197">
        <f t="shared" si="13"/>
        <v>12216.752100801003</v>
      </c>
      <c r="R50" s="197">
        <f t="shared" si="13"/>
        <v>12216.752100801003</v>
      </c>
      <c r="S50" s="197">
        <f t="shared" si="13"/>
        <v>12216.752100801003</v>
      </c>
      <c r="T50" s="198">
        <f t="shared" si="13"/>
        <v>12216.752100801003</v>
      </c>
    </row>
    <row r="51" spans="3:20">
      <c r="C51" s="174"/>
      <c r="D51" s="175" t="s">
        <v>161</v>
      </c>
      <c r="E51" s="211" t="s">
        <v>70</v>
      </c>
      <c r="F51" s="196">
        <f>+F50*12</f>
        <v>126478.04732672402</v>
      </c>
      <c r="G51" s="197">
        <f t="shared" ref="G51:T51" si="14">+G50*12</f>
        <v>146601.02520961204</v>
      </c>
      <c r="H51" s="197">
        <f t="shared" si="14"/>
        <v>146601.02520961204</v>
      </c>
      <c r="I51" s="197">
        <f t="shared" si="14"/>
        <v>146601.02520961204</v>
      </c>
      <c r="J51" s="197">
        <f t="shared" si="14"/>
        <v>146601.02520961204</v>
      </c>
      <c r="K51" s="197">
        <f t="shared" si="14"/>
        <v>146601.02520961204</v>
      </c>
      <c r="L51" s="197">
        <f t="shared" si="14"/>
        <v>146601.02520961204</v>
      </c>
      <c r="M51" s="197">
        <f t="shared" si="14"/>
        <v>146601.02520961204</v>
      </c>
      <c r="N51" s="197">
        <f t="shared" si="14"/>
        <v>146601.02520961204</v>
      </c>
      <c r="O51" s="197">
        <f t="shared" si="14"/>
        <v>146601.02520961204</v>
      </c>
      <c r="P51" s="197">
        <f t="shared" si="14"/>
        <v>146601.02520961204</v>
      </c>
      <c r="Q51" s="197">
        <f t="shared" si="14"/>
        <v>146601.02520961204</v>
      </c>
      <c r="R51" s="197">
        <f t="shared" si="14"/>
        <v>146601.02520961204</v>
      </c>
      <c r="S51" s="197">
        <f t="shared" si="14"/>
        <v>146601.02520961204</v>
      </c>
      <c r="T51" s="198">
        <f t="shared" si="14"/>
        <v>146601.02520961204</v>
      </c>
    </row>
    <row r="54" spans="3:20" ht="15.75">
      <c r="C54" s="381" t="str">
        <f>+MENU!$C$79</f>
        <v>5.3. - CÁLCULO DOS CUSTEIOS COM PESSOAL ADMINISTRATIVO</v>
      </c>
    </row>
    <row r="55" spans="3:20">
      <c r="C55" s="4"/>
    </row>
    <row r="56" spans="3:20" ht="18" customHeight="1">
      <c r="C56" s="694" t="s">
        <v>62</v>
      </c>
      <c r="D56" s="694"/>
      <c r="E56" s="34" t="s">
        <v>6</v>
      </c>
      <c r="F56" s="586">
        <v>1</v>
      </c>
      <c r="G56" s="572">
        <f t="shared" ref="G56:T56" si="15">+F56+1</f>
        <v>2</v>
      </c>
      <c r="H56" s="572">
        <f t="shared" si="15"/>
        <v>3</v>
      </c>
      <c r="I56" s="572">
        <f t="shared" si="15"/>
        <v>4</v>
      </c>
      <c r="J56" s="572">
        <f t="shared" si="15"/>
        <v>5</v>
      </c>
      <c r="K56" s="572">
        <f t="shared" si="15"/>
        <v>6</v>
      </c>
      <c r="L56" s="572">
        <f t="shared" si="15"/>
        <v>7</v>
      </c>
      <c r="M56" s="572">
        <f t="shared" si="15"/>
        <v>8</v>
      </c>
      <c r="N56" s="572">
        <f t="shared" si="15"/>
        <v>9</v>
      </c>
      <c r="O56" s="572">
        <f t="shared" si="15"/>
        <v>10</v>
      </c>
      <c r="P56" s="572">
        <f t="shared" si="15"/>
        <v>11</v>
      </c>
      <c r="Q56" s="572">
        <f t="shared" si="15"/>
        <v>12</v>
      </c>
      <c r="R56" s="572">
        <f t="shared" si="15"/>
        <v>13</v>
      </c>
      <c r="S56" s="572">
        <f t="shared" si="15"/>
        <v>14</v>
      </c>
      <c r="T56" s="573">
        <f t="shared" si="15"/>
        <v>15</v>
      </c>
    </row>
    <row r="57" spans="3:20">
      <c r="D57" s="2" t="s">
        <v>152</v>
      </c>
      <c r="E57" s="166" t="s">
        <v>70</v>
      </c>
      <c r="F57" s="199">
        <f>+F41</f>
        <v>84318.698217816011</v>
      </c>
      <c r="G57" s="200">
        <f t="shared" ref="G57:T57" si="16">+G41</f>
        <v>97734.016806408021</v>
      </c>
      <c r="H57" s="200">
        <f t="shared" si="16"/>
        <v>97734.016806408021</v>
      </c>
      <c r="I57" s="200">
        <f t="shared" si="16"/>
        <v>97734.016806408021</v>
      </c>
      <c r="J57" s="200">
        <f t="shared" si="16"/>
        <v>97734.016806408021</v>
      </c>
      <c r="K57" s="200">
        <f t="shared" si="16"/>
        <v>97734.016806408021</v>
      </c>
      <c r="L57" s="200">
        <f t="shared" si="16"/>
        <v>97734.016806408021</v>
      </c>
      <c r="M57" s="200">
        <f t="shared" si="16"/>
        <v>97734.016806408021</v>
      </c>
      <c r="N57" s="200">
        <f t="shared" si="16"/>
        <v>97734.016806408021</v>
      </c>
      <c r="O57" s="200">
        <f t="shared" si="16"/>
        <v>97734.016806408021</v>
      </c>
      <c r="P57" s="200">
        <f t="shared" si="16"/>
        <v>97734.016806408021</v>
      </c>
      <c r="Q57" s="200">
        <f t="shared" si="16"/>
        <v>97734.016806408021</v>
      </c>
      <c r="R57" s="200">
        <f t="shared" si="16"/>
        <v>97734.016806408021</v>
      </c>
      <c r="S57" s="200">
        <f t="shared" si="16"/>
        <v>97734.016806408021</v>
      </c>
      <c r="T57" s="201">
        <f t="shared" si="16"/>
        <v>97734.016806408021</v>
      </c>
    </row>
    <row r="58" spans="3:20">
      <c r="D58" s="2" t="s">
        <v>56</v>
      </c>
      <c r="E58" s="166" t="s">
        <v>122</v>
      </c>
      <c r="F58" s="193">
        <f>+'2. COEFICIENTES'!$F$103</f>
        <v>8.5000000000000006E-2</v>
      </c>
      <c r="G58" s="194">
        <f>+'2. COEFICIENTES'!G103</f>
        <v>8.5000000000000006E-2</v>
      </c>
      <c r="H58" s="194">
        <f>+'2. COEFICIENTES'!H103</f>
        <v>8.5000000000000006E-2</v>
      </c>
      <c r="I58" s="194">
        <f>+'2. COEFICIENTES'!I103</f>
        <v>8.5000000000000006E-2</v>
      </c>
      <c r="J58" s="194">
        <f>+'2. COEFICIENTES'!J103</f>
        <v>8.5000000000000006E-2</v>
      </c>
      <c r="K58" s="194">
        <f>+'2. COEFICIENTES'!K103</f>
        <v>8.5000000000000006E-2</v>
      </c>
      <c r="L58" s="194">
        <f>+'2. COEFICIENTES'!L103</f>
        <v>8.5000000000000006E-2</v>
      </c>
      <c r="M58" s="194">
        <f>+'2. COEFICIENTES'!M103</f>
        <v>8.5000000000000006E-2</v>
      </c>
      <c r="N58" s="194">
        <f>+'2. COEFICIENTES'!N103</f>
        <v>8.5000000000000006E-2</v>
      </c>
      <c r="O58" s="194">
        <f>+'2. COEFICIENTES'!O103</f>
        <v>8.5000000000000006E-2</v>
      </c>
      <c r="P58" s="194">
        <f>+'2. COEFICIENTES'!P103</f>
        <v>8.5000000000000006E-2</v>
      </c>
      <c r="Q58" s="194">
        <f>+'2. COEFICIENTES'!Q103</f>
        <v>8.5000000000000006E-2</v>
      </c>
      <c r="R58" s="194">
        <f>+'2. COEFICIENTES'!R103</f>
        <v>8.5000000000000006E-2</v>
      </c>
      <c r="S58" s="194">
        <f>+'2. COEFICIENTES'!S103</f>
        <v>8.5000000000000006E-2</v>
      </c>
      <c r="T58" s="195">
        <f>+'2. COEFICIENTES'!T103</f>
        <v>8.5000000000000006E-2</v>
      </c>
    </row>
    <row r="59" spans="3:20">
      <c r="C59" s="174"/>
      <c r="D59" s="174" t="s">
        <v>162</v>
      </c>
      <c r="E59" s="176" t="s">
        <v>70</v>
      </c>
      <c r="F59" s="196">
        <f t="shared" ref="F59:T59" si="17">+F58*F57</f>
        <v>7167.0893485143615</v>
      </c>
      <c r="G59" s="197">
        <f t="shared" si="17"/>
        <v>8307.3914285446826</v>
      </c>
      <c r="H59" s="197">
        <f t="shared" si="17"/>
        <v>8307.3914285446826</v>
      </c>
      <c r="I59" s="197">
        <f t="shared" si="17"/>
        <v>8307.3914285446826</v>
      </c>
      <c r="J59" s="197">
        <f t="shared" si="17"/>
        <v>8307.3914285446826</v>
      </c>
      <c r="K59" s="197">
        <f t="shared" si="17"/>
        <v>8307.3914285446826</v>
      </c>
      <c r="L59" s="197">
        <f t="shared" si="17"/>
        <v>8307.3914285446826</v>
      </c>
      <c r="M59" s="197">
        <f t="shared" si="17"/>
        <v>8307.3914285446826</v>
      </c>
      <c r="N59" s="197">
        <f t="shared" si="17"/>
        <v>8307.3914285446826</v>
      </c>
      <c r="O59" s="197">
        <f t="shared" si="17"/>
        <v>8307.3914285446826</v>
      </c>
      <c r="P59" s="197">
        <f t="shared" si="17"/>
        <v>8307.3914285446826</v>
      </c>
      <c r="Q59" s="197">
        <f t="shared" si="17"/>
        <v>8307.3914285446826</v>
      </c>
      <c r="R59" s="197">
        <f t="shared" si="17"/>
        <v>8307.3914285446826</v>
      </c>
      <c r="S59" s="197">
        <f t="shared" si="17"/>
        <v>8307.3914285446826</v>
      </c>
      <c r="T59" s="198">
        <f t="shared" si="17"/>
        <v>8307.3914285446826</v>
      </c>
    </row>
    <row r="60" spans="3:20">
      <c r="C60" s="174"/>
      <c r="D60" s="175" t="s">
        <v>162</v>
      </c>
      <c r="E60" s="211" t="s">
        <v>70</v>
      </c>
      <c r="F60" s="196">
        <f t="shared" ref="F60:T60" si="18">+F59*12</f>
        <v>86005.072182172342</v>
      </c>
      <c r="G60" s="197">
        <f t="shared" si="18"/>
        <v>99688.697142536199</v>
      </c>
      <c r="H60" s="197">
        <f t="shared" si="18"/>
        <v>99688.697142536199</v>
      </c>
      <c r="I60" s="197">
        <f t="shared" si="18"/>
        <v>99688.697142536199</v>
      </c>
      <c r="J60" s="197">
        <f t="shared" si="18"/>
        <v>99688.697142536199</v>
      </c>
      <c r="K60" s="197">
        <f t="shared" si="18"/>
        <v>99688.697142536199</v>
      </c>
      <c r="L60" s="197">
        <f t="shared" si="18"/>
        <v>99688.697142536199</v>
      </c>
      <c r="M60" s="197">
        <f t="shared" si="18"/>
        <v>99688.697142536199</v>
      </c>
      <c r="N60" s="197">
        <f t="shared" si="18"/>
        <v>99688.697142536199</v>
      </c>
      <c r="O60" s="197">
        <f t="shared" si="18"/>
        <v>99688.697142536199</v>
      </c>
      <c r="P60" s="197">
        <f t="shared" si="18"/>
        <v>99688.697142536199</v>
      </c>
      <c r="Q60" s="197">
        <f t="shared" si="18"/>
        <v>99688.697142536199</v>
      </c>
      <c r="R60" s="197">
        <f t="shared" si="18"/>
        <v>99688.697142536199</v>
      </c>
      <c r="S60" s="197">
        <f t="shared" si="18"/>
        <v>99688.697142536199</v>
      </c>
      <c r="T60" s="198">
        <f t="shared" si="18"/>
        <v>99688.697142536199</v>
      </c>
    </row>
    <row r="63" spans="3:20" ht="15.75">
      <c r="C63" s="381" t="str">
        <f>+MENU!$C$80</f>
        <v>5.4. - CÁLCULO DOS CUSTEIOS COM BENEFÍCIOS</v>
      </c>
    </row>
    <row r="64" spans="3:20">
      <c r="C64" s="4"/>
    </row>
    <row r="65" spans="3:20" ht="18" customHeight="1">
      <c r="C65" s="694" t="s">
        <v>444</v>
      </c>
      <c r="D65" s="694"/>
      <c r="E65" s="34" t="s">
        <v>6</v>
      </c>
      <c r="F65" s="578">
        <v>1</v>
      </c>
      <c r="G65" s="572">
        <f t="shared" ref="G65:T65" si="19">+F65+1</f>
        <v>2</v>
      </c>
      <c r="H65" s="572">
        <f t="shared" si="19"/>
        <v>3</v>
      </c>
      <c r="I65" s="572">
        <f t="shared" si="19"/>
        <v>4</v>
      </c>
      <c r="J65" s="572">
        <f t="shared" si="19"/>
        <v>5</v>
      </c>
      <c r="K65" s="572">
        <f t="shared" si="19"/>
        <v>6</v>
      </c>
      <c r="L65" s="572">
        <f t="shared" si="19"/>
        <v>7</v>
      </c>
      <c r="M65" s="572">
        <f t="shared" si="19"/>
        <v>8</v>
      </c>
      <c r="N65" s="572">
        <f t="shared" si="19"/>
        <v>9</v>
      </c>
      <c r="O65" s="572">
        <f t="shared" si="19"/>
        <v>10</v>
      </c>
      <c r="P65" s="572">
        <f t="shared" si="19"/>
        <v>11</v>
      </c>
      <c r="Q65" s="572">
        <f t="shared" si="19"/>
        <v>12</v>
      </c>
      <c r="R65" s="572">
        <f t="shared" si="19"/>
        <v>13</v>
      </c>
      <c r="S65" s="572">
        <f t="shared" si="19"/>
        <v>14</v>
      </c>
      <c r="T65" s="573">
        <f t="shared" si="19"/>
        <v>15</v>
      </c>
    </row>
    <row r="66" spans="3:20">
      <c r="D66" s="238" t="str">
        <f>"FROTA OPERACIONAL"</f>
        <v>FROTA OPERACIONAL</v>
      </c>
      <c r="E66" s="331" t="s">
        <v>118</v>
      </c>
      <c r="F66" s="332">
        <f>+'1. DADOS OPERACIONAIS'!F15</f>
        <v>12</v>
      </c>
      <c r="G66" s="45">
        <f>+'1. DADOS OPERACIONAIS'!G15</f>
        <v>12</v>
      </c>
      <c r="H66" s="45">
        <f>+'1. DADOS OPERACIONAIS'!H15</f>
        <v>12</v>
      </c>
      <c r="I66" s="45">
        <f>+'1. DADOS OPERACIONAIS'!I15</f>
        <v>12</v>
      </c>
      <c r="J66" s="45">
        <f>+'1. DADOS OPERACIONAIS'!J15</f>
        <v>12</v>
      </c>
      <c r="K66" s="45">
        <f>+'1. DADOS OPERACIONAIS'!K15</f>
        <v>12</v>
      </c>
      <c r="L66" s="45">
        <f>+'1. DADOS OPERACIONAIS'!L15</f>
        <v>12</v>
      </c>
      <c r="M66" s="45">
        <f>+'1. DADOS OPERACIONAIS'!M15</f>
        <v>12</v>
      </c>
      <c r="N66" s="45">
        <f>+'1. DADOS OPERACIONAIS'!N15</f>
        <v>12</v>
      </c>
      <c r="O66" s="45">
        <f>+'1. DADOS OPERACIONAIS'!O15</f>
        <v>12</v>
      </c>
      <c r="P66" s="45">
        <f>+'1. DADOS OPERACIONAIS'!P15</f>
        <v>12</v>
      </c>
      <c r="Q66" s="45">
        <f>+'1. DADOS OPERACIONAIS'!Q15</f>
        <v>12</v>
      </c>
      <c r="R66" s="45">
        <f>+'1. DADOS OPERACIONAIS'!R15</f>
        <v>12</v>
      </c>
      <c r="S66" s="45">
        <f>+'1. DADOS OPERACIONAIS'!S15</f>
        <v>12</v>
      </c>
      <c r="T66" s="46">
        <f>+'1. DADOS OPERACIONAIS'!T15</f>
        <v>12</v>
      </c>
    </row>
    <row r="67" spans="3:20">
      <c r="D67" s="1" t="s">
        <v>187</v>
      </c>
      <c r="E67" s="166" t="s">
        <v>52</v>
      </c>
      <c r="F67" s="247">
        <f>+'2. COEFICIENTES'!F89</f>
        <v>2.21</v>
      </c>
      <c r="G67" s="187">
        <f>+'2. COEFICIENTES'!G89</f>
        <v>2.21</v>
      </c>
      <c r="H67" s="187">
        <f>+'2. COEFICIENTES'!H89</f>
        <v>2.21</v>
      </c>
      <c r="I67" s="187">
        <f>+'2. COEFICIENTES'!I89</f>
        <v>2.21</v>
      </c>
      <c r="J67" s="187">
        <f>+'2. COEFICIENTES'!J89</f>
        <v>2.21</v>
      </c>
      <c r="K67" s="187">
        <f>+'2. COEFICIENTES'!K89</f>
        <v>2.21</v>
      </c>
      <c r="L67" s="187">
        <f>+'2. COEFICIENTES'!L89</f>
        <v>2.21</v>
      </c>
      <c r="M67" s="187">
        <f>+'2. COEFICIENTES'!M89</f>
        <v>2.21</v>
      </c>
      <c r="N67" s="187">
        <f>+'2. COEFICIENTES'!N89</f>
        <v>2.21</v>
      </c>
      <c r="O67" s="187">
        <f>+'2. COEFICIENTES'!O89</f>
        <v>2.21</v>
      </c>
      <c r="P67" s="187">
        <f>+'2. COEFICIENTES'!P89</f>
        <v>2.21</v>
      </c>
      <c r="Q67" s="187">
        <f>+'2. COEFICIENTES'!Q89</f>
        <v>2.21</v>
      </c>
      <c r="R67" s="187">
        <f>+'2. COEFICIENTES'!R89</f>
        <v>2.21</v>
      </c>
      <c r="S67" s="187">
        <f>+'2. COEFICIENTES'!S89</f>
        <v>2.21</v>
      </c>
      <c r="T67" s="188">
        <f>+'2. COEFICIENTES'!T89</f>
        <v>2.21</v>
      </c>
    </row>
    <row r="68" spans="3:20">
      <c r="D68" s="1" t="s">
        <v>188</v>
      </c>
      <c r="E68" s="166" t="str">
        <f>E67</f>
        <v>(Func./Veíc. Op.)</v>
      </c>
      <c r="F68" s="247">
        <f>+'2. COEFICIENTES'!F90</f>
        <v>0.2</v>
      </c>
      <c r="G68" s="187">
        <f>+'2. COEFICIENTES'!G90</f>
        <v>0.2</v>
      </c>
      <c r="H68" s="187">
        <f>+'2. COEFICIENTES'!H90</f>
        <v>0.2</v>
      </c>
      <c r="I68" s="187">
        <f>+'2. COEFICIENTES'!I90</f>
        <v>0.2</v>
      </c>
      <c r="J68" s="187">
        <f>+'2. COEFICIENTES'!J90</f>
        <v>0.2</v>
      </c>
      <c r="K68" s="187">
        <f>+'2. COEFICIENTES'!K90</f>
        <v>0.2</v>
      </c>
      <c r="L68" s="187">
        <f>+'2. COEFICIENTES'!L90</f>
        <v>0.2</v>
      </c>
      <c r="M68" s="187">
        <f>+'2. COEFICIENTES'!M90</f>
        <v>0.2</v>
      </c>
      <c r="N68" s="187">
        <f>+'2. COEFICIENTES'!N90</f>
        <v>0.2</v>
      </c>
      <c r="O68" s="187">
        <f>+'2. COEFICIENTES'!O90</f>
        <v>0.2</v>
      </c>
      <c r="P68" s="187">
        <f>+'2. COEFICIENTES'!P90</f>
        <v>0.2</v>
      </c>
      <c r="Q68" s="187">
        <f>+'2. COEFICIENTES'!Q90</f>
        <v>0.2</v>
      </c>
      <c r="R68" s="187">
        <f>+'2. COEFICIENTES'!R90</f>
        <v>0.2</v>
      </c>
      <c r="S68" s="187">
        <f>+'2. COEFICIENTES'!S90</f>
        <v>0.2</v>
      </c>
      <c r="T68" s="188">
        <f>+'2. COEFICIENTES'!T90</f>
        <v>0.2</v>
      </c>
    </row>
    <row r="69" spans="3:20">
      <c r="D69" s="333" t="s">
        <v>189</v>
      </c>
      <c r="E69" s="334" t="str">
        <f>E68</f>
        <v>(Func./Veíc. Op.)</v>
      </c>
      <c r="F69" s="335">
        <f>+'2. COEFICIENTES'!F91</f>
        <v>0.2</v>
      </c>
      <c r="G69" s="51">
        <f>+'2. COEFICIENTES'!G91</f>
        <v>0.2</v>
      </c>
      <c r="H69" s="51">
        <f>+'2. COEFICIENTES'!H91</f>
        <v>0.2</v>
      </c>
      <c r="I69" s="51">
        <f>+'2. COEFICIENTES'!I91</f>
        <v>0.2</v>
      </c>
      <c r="J69" s="51">
        <f>+'2. COEFICIENTES'!J91</f>
        <v>0.2</v>
      </c>
      <c r="K69" s="51">
        <f>+'2. COEFICIENTES'!K91</f>
        <v>0.2</v>
      </c>
      <c r="L69" s="51">
        <f>+'2. COEFICIENTES'!L91</f>
        <v>0.2</v>
      </c>
      <c r="M69" s="51">
        <f>+'2. COEFICIENTES'!M91</f>
        <v>0.2</v>
      </c>
      <c r="N69" s="51">
        <f>+'2. COEFICIENTES'!N91</f>
        <v>0.2</v>
      </c>
      <c r="O69" s="51">
        <f>+'2. COEFICIENTES'!O91</f>
        <v>0.2</v>
      </c>
      <c r="P69" s="51">
        <f>+'2. COEFICIENTES'!P91</f>
        <v>0.2</v>
      </c>
      <c r="Q69" s="51">
        <f>+'2. COEFICIENTES'!Q91</f>
        <v>0.2</v>
      </c>
      <c r="R69" s="51">
        <f>+'2. COEFICIENTES'!R91</f>
        <v>0.2</v>
      </c>
      <c r="S69" s="51">
        <f>+'2. COEFICIENTES'!S91</f>
        <v>0.2</v>
      </c>
      <c r="T69" s="52">
        <f>+'2. COEFICIENTES'!T91</f>
        <v>0.2</v>
      </c>
    </row>
    <row r="70" spans="3:20">
      <c r="D70" s="1" t="s">
        <v>190</v>
      </c>
      <c r="E70" s="166" t="s">
        <v>57</v>
      </c>
      <c r="F70" s="248">
        <f>+'2. COEFICIENTES'!F97</f>
        <v>0.125</v>
      </c>
      <c r="G70" s="249">
        <f>+'2. COEFICIENTES'!G97</f>
        <v>0.125</v>
      </c>
      <c r="H70" s="249">
        <f>+'2. COEFICIENTES'!H97</f>
        <v>0.125</v>
      </c>
      <c r="I70" s="249">
        <f>+'2. COEFICIENTES'!I97</f>
        <v>0.125</v>
      </c>
      <c r="J70" s="249">
        <f>+'2. COEFICIENTES'!J97</f>
        <v>0.125</v>
      </c>
      <c r="K70" s="249">
        <f>+'2. COEFICIENTES'!K97</f>
        <v>0.125</v>
      </c>
      <c r="L70" s="249">
        <f>+'2. COEFICIENTES'!L97</f>
        <v>0.125</v>
      </c>
      <c r="M70" s="249">
        <f>+'2. COEFICIENTES'!M97</f>
        <v>0.125</v>
      </c>
      <c r="N70" s="249">
        <f>+'2. COEFICIENTES'!N97</f>
        <v>0.125</v>
      </c>
      <c r="O70" s="249">
        <f>+'2. COEFICIENTES'!O97</f>
        <v>0.125</v>
      </c>
      <c r="P70" s="249">
        <f>+'2. COEFICIENTES'!P97</f>
        <v>0.125</v>
      </c>
      <c r="Q70" s="249">
        <f>+'2. COEFICIENTES'!Q97</f>
        <v>0.125</v>
      </c>
      <c r="R70" s="249">
        <f>+'2. COEFICIENTES'!R97</f>
        <v>0.125</v>
      </c>
      <c r="S70" s="249">
        <f>+'2. COEFICIENTES'!S97</f>
        <v>0.125</v>
      </c>
      <c r="T70" s="250">
        <f>+'2. COEFICIENTES'!T97</f>
        <v>0.125</v>
      </c>
    </row>
    <row r="71" spans="3:20">
      <c r="D71" s="1" t="s">
        <v>191</v>
      </c>
      <c r="E71" s="166" t="str">
        <f>E70</f>
        <v>(%/P. Op.)</v>
      </c>
      <c r="F71" s="248">
        <f>+'2. COEFICIENTES'!F103</f>
        <v>8.5000000000000006E-2</v>
      </c>
      <c r="G71" s="249">
        <f>+'2. COEFICIENTES'!G103</f>
        <v>8.5000000000000006E-2</v>
      </c>
      <c r="H71" s="249">
        <f>+'2. COEFICIENTES'!H103</f>
        <v>8.5000000000000006E-2</v>
      </c>
      <c r="I71" s="249">
        <f>+'2. COEFICIENTES'!I103</f>
        <v>8.5000000000000006E-2</v>
      </c>
      <c r="J71" s="249">
        <f>+'2. COEFICIENTES'!J103</f>
        <v>8.5000000000000006E-2</v>
      </c>
      <c r="K71" s="249">
        <f>+'2. COEFICIENTES'!K103</f>
        <v>8.5000000000000006E-2</v>
      </c>
      <c r="L71" s="249">
        <f>+'2. COEFICIENTES'!L103</f>
        <v>8.5000000000000006E-2</v>
      </c>
      <c r="M71" s="249">
        <f>+'2. COEFICIENTES'!M103</f>
        <v>8.5000000000000006E-2</v>
      </c>
      <c r="N71" s="249">
        <f>+'2. COEFICIENTES'!N103</f>
        <v>8.5000000000000006E-2</v>
      </c>
      <c r="O71" s="249">
        <f>+'2. COEFICIENTES'!O103</f>
        <v>8.5000000000000006E-2</v>
      </c>
      <c r="P71" s="249">
        <f>+'2. COEFICIENTES'!P103</f>
        <v>8.5000000000000006E-2</v>
      </c>
      <c r="Q71" s="249">
        <f>+'2. COEFICIENTES'!Q103</f>
        <v>8.5000000000000006E-2</v>
      </c>
      <c r="R71" s="249">
        <f>+'2. COEFICIENTES'!R103</f>
        <v>8.5000000000000006E-2</v>
      </c>
      <c r="S71" s="249">
        <f>+'2. COEFICIENTES'!S103</f>
        <v>8.5000000000000006E-2</v>
      </c>
      <c r="T71" s="250">
        <f>+'2. COEFICIENTES'!T103</f>
        <v>8.5000000000000006E-2</v>
      </c>
    </row>
    <row r="72" spans="3:20">
      <c r="D72" s="131" t="s">
        <v>192</v>
      </c>
      <c r="E72" s="34" t="s">
        <v>193</v>
      </c>
      <c r="F72" s="132">
        <f>ROUND(((F67+F68+F69)+(SUM(F67:F69)*SUM(F70:F71)))*F66,0)</f>
        <v>38</v>
      </c>
      <c r="G72" s="132">
        <f t="shared" ref="G72:T72" si="20">ROUND(((G67+G68+G69)+(SUM(G67:G69)*SUM(G70:G71)))*G66,0)</f>
        <v>38</v>
      </c>
      <c r="H72" s="132">
        <f t="shared" si="20"/>
        <v>38</v>
      </c>
      <c r="I72" s="132">
        <f t="shared" si="20"/>
        <v>38</v>
      </c>
      <c r="J72" s="132">
        <f t="shared" si="20"/>
        <v>38</v>
      </c>
      <c r="K72" s="132">
        <f t="shared" si="20"/>
        <v>38</v>
      </c>
      <c r="L72" s="132">
        <f t="shared" si="20"/>
        <v>38</v>
      </c>
      <c r="M72" s="132">
        <f t="shared" si="20"/>
        <v>38</v>
      </c>
      <c r="N72" s="132">
        <f t="shared" si="20"/>
        <v>38</v>
      </c>
      <c r="O72" s="132">
        <f t="shared" si="20"/>
        <v>38</v>
      </c>
      <c r="P72" s="132">
        <f t="shared" si="20"/>
        <v>38</v>
      </c>
      <c r="Q72" s="132">
        <f t="shared" si="20"/>
        <v>38</v>
      </c>
      <c r="R72" s="132">
        <f t="shared" si="20"/>
        <v>38</v>
      </c>
      <c r="S72" s="132">
        <f t="shared" si="20"/>
        <v>38</v>
      </c>
      <c r="T72" s="253">
        <f t="shared" si="20"/>
        <v>38</v>
      </c>
    </row>
    <row r="73" spans="3:20">
      <c r="D73" s="172" t="s">
        <v>34</v>
      </c>
      <c r="E73" s="204" t="s">
        <v>40</v>
      </c>
      <c r="F73" s="251">
        <f>F$72*'2. COEFICIENTES'!F109*'3. PREÇOS INSUMOS'!G185</f>
        <v>5703.42</v>
      </c>
      <c r="G73" s="251">
        <f>G$72*'2. COEFICIENTES'!G109*'3. PREÇOS INSUMOS'!H185</f>
        <v>5703.42</v>
      </c>
      <c r="H73" s="251">
        <f>H$72*'2. COEFICIENTES'!H109*'3. PREÇOS INSUMOS'!I185</f>
        <v>5703.42</v>
      </c>
      <c r="I73" s="251">
        <f>I$72*'2. COEFICIENTES'!I109*'3. PREÇOS INSUMOS'!J185</f>
        <v>5703.42</v>
      </c>
      <c r="J73" s="251">
        <f>J$72*'2. COEFICIENTES'!J109*'3. PREÇOS INSUMOS'!K185</f>
        <v>5703.42</v>
      </c>
      <c r="K73" s="251">
        <f>K$72*'2. COEFICIENTES'!K109*'3. PREÇOS INSUMOS'!L185</f>
        <v>5703.42</v>
      </c>
      <c r="L73" s="251">
        <f>L$72*'2. COEFICIENTES'!L109*'3. PREÇOS INSUMOS'!M185</f>
        <v>5703.42</v>
      </c>
      <c r="M73" s="251">
        <f>M$72*'2. COEFICIENTES'!M109*'3. PREÇOS INSUMOS'!N185</f>
        <v>5703.42</v>
      </c>
      <c r="N73" s="251">
        <f>N$72*'2. COEFICIENTES'!N109*'3. PREÇOS INSUMOS'!O185</f>
        <v>5703.42</v>
      </c>
      <c r="O73" s="251">
        <f>O$72*'2. COEFICIENTES'!O109*'3. PREÇOS INSUMOS'!P185</f>
        <v>5703.42</v>
      </c>
      <c r="P73" s="251">
        <f>P$72*'2. COEFICIENTES'!P109*'3. PREÇOS INSUMOS'!Q185</f>
        <v>5703.42</v>
      </c>
      <c r="Q73" s="251">
        <f>Q$72*'2. COEFICIENTES'!Q109*'3. PREÇOS INSUMOS'!R185</f>
        <v>5703.42</v>
      </c>
      <c r="R73" s="251">
        <f>R$72*'2. COEFICIENTES'!R109*'3. PREÇOS INSUMOS'!S185</f>
        <v>5703.42</v>
      </c>
      <c r="S73" s="251">
        <f>S$72*'2. COEFICIENTES'!S109*'3. PREÇOS INSUMOS'!T185</f>
        <v>5703.42</v>
      </c>
      <c r="T73" s="201">
        <f>T$72*'2. COEFICIENTES'!T109*'3. PREÇOS INSUMOS'!U185</f>
        <v>5703.42</v>
      </c>
    </row>
    <row r="74" spans="3:20">
      <c r="D74" s="1" t="s">
        <v>35</v>
      </c>
      <c r="E74" s="166" t="str">
        <f>+E73</f>
        <v>(R$/Func./Mês)</v>
      </c>
      <c r="F74" s="247">
        <f>F$72*'2. COEFICIENTES'!F110*'3. PREÇOS INSUMOS'!G186</f>
        <v>9279.1440000000002</v>
      </c>
      <c r="G74" s="247">
        <f>G$72*'2. COEFICIENTES'!G110*'3. PREÇOS INSUMOS'!H186</f>
        <v>9279.1440000000002</v>
      </c>
      <c r="H74" s="247">
        <f>H$72*'2. COEFICIENTES'!H110*'3. PREÇOS INSUMOS'!I186</f>
        <v>9279.1440000000002</v>
      </c>
      <c r="I74" s="247">
        <f>I$72*'2. COEFICIENTES'!I110*'3. PREÇOS INSUMOS'!J186</f>
        <v>9279.1440000000002</v>
      </c>
      <c r="J74" s="247">
        <f>J$72*'2. COEFICIENTES'!J110*'3. PREÇOS INSUMOS'!K186</f>
        <v>9279.1440000000002</v>
      </c>
      <c r="K74" s="247">
        <f>K$72*'2. COEFICIENTES'!K110*'3. PREÇOS INSUMOS'!L186</f>
        <v>9279.1440000000002</v>
      </c>
      <c r="L74" s="247">
        <f>L$72*'2. COEFICIENTES'!L110*'3. PREÇOS INSUMOS'!M186</f>
        <v>9279.1440000000002</v>
      </c>
      <c r="M74" s="247">
        <f>M$72*'2. COEFICIENTES'!M110*'3. PREÇOS INSUMOS'!N186</f>
        <v>9279.1440000000002</v>
      </c>
      <c r="N74" s="247">
        <f>N$72*'2. COEFICIENTES'!N110*'3. PREÇOS INSUMOS'!O186</f>
        <v>9279.1440000000002</v>
      </c>
      <c r="O74" s="247">
        <f>O$72*'2. COEFICIENTES'!O110*'3. PREÇOS INSUMOS'!P186</f>
        <v>9279.1440000000002</v>
      </c>
      <c r="P74" s="247">
        <f>P$72*'2. COEFICIENTES'!P110*'3. PREÇOS INSUMOS'!Q186</f>
        <v>9279.1440000000002</v>
      </c>
      <c r="Q74" s="247">
        <f>Q$72*'2. COEFICIENTES'!Q110*'3. PREÇOS INSUMOS'!R186</f>
        <v>9279.1440000000002</v>
      </c>
      <c r="R74" s="247">
        <f>R$72*'2. COEFICIENTES'!R110*'3. PREÇOS INSUMOS'!S186</f>
        <v>9279.1440000000002</v>
      </c>
      <c r="S74" s="247">
        <f>S$72*'2. COEFICIENTES'!S110*'3. PREÇOS INSUMOS'!T186</f>
        <v>9279.1440000000002</v>
      </c>
      <c r="T74" s="188">
        <f>T$72*'2. COEFICIENTES'!T110*'3. PREÇOS INSUMOS'!U186</f>
        <v>9279.1440000000002</v>
      </c>
    </row>
    <row r="75" spans="3:20">
      <c r="D75" s="1" t="s">
        <v>36</v>
      </c>
      <c r="E75" s="166" t="str">
        <f>+E74</f>
        <v>(R$/Func./Mês)</v>
      </c>
      <c r="F75" s="247">
        <f>F$72*'2. COEFICIENTES'!F111*'3. PREÇOS INSUMOS'!G187</f>
        <v>0</v>
      </c>
      <c r="G75" s="247">
        <f>G$72*'2. COEFICIENTES'!G111*'3. PREÇOS INSUMOS'!H187</f>
        <v>0</v>
      </c>
      <c r="H75" s="247">
        <f>H$72*'2. COEFICIENTES'!H111*'3. PREÇOS INSUMOS'!I187</f>
        <v>0</v>
      </c>
      <c r="I75" s="247">
        <f>I$72*'2. COEFICIENTES'!I111*'3. PREÇOS INSUMOS'!J187</f>
        <v>0</v>
      </c>
      <c r="J75" s="247">
        <f>J$72*'2. COEFICIENTES'!J111*'3. PREÇOS INSUMOS'!K187</f>
        <v>0</v>
      </c>
      <c r="K75" s="247">
        <f>K$72*'2. COEFICIENTES'!K111*'3. PREÇOS INSUMOS'!L187</f>
        <v>0</v>
      </c>
      <c r="L75" s="247">
        <f>L$72*'2. COEFICIENTES'!L111*'3. PREÇOS INSUMOS'!M187</f>
        <v>0</v>
      </c>
      <c r="M75" s="247">
        <f>M$72*'2. COEFICIENTES'!M111*'3. PREÇOS INSUMOS'!N187</f>
        <v>0</v>
      </c>
      <c r="N75" s="247">
        <f>N$72*'2. COEFICIENTES'!N111*'3. PREÇOS INSUMOS'!O187</f>
        <v>0</v>
      </c>
      <c r="O75" s="247">
        <f>O$72*'2. COEFICIENTES'!O111*'3. PREÇOS INSUMOS'!P187</f>
        <v>0</v>
      </c>
      <c r="P75" s="247">
        <f>P$72*'2. COEFICIENTES'!P111*'3. PREÇOS INSUMOS'!Q187</f>
        <v>0</v>
      </c>
      <c r="Q75" s="247">
        <f>Q$72*'2. COEFICIENTES'!Q111*'3. PREÇOS INSUMOS'!R187</f>
        <v>0</v>
      </c>
      <c r="R75" s="247">
        <f>R$72*'2. COEFICIENTES'!R111*'3. PREÇOS INSUMOS'!S187</f>
        <v>0</v>
      </c>
      <c r="S75" s="247">
        <f>S$72*'2. COEFICIENTES'!S111*'3. PREÇOS INSUMOS'!T187</f>
        <v>0</v>
      </c>
      <c r="T75" s="188">
        <f>T$72*'2. COEFICIENTES'!T111*'3. PREÇOS INSUMOS'!U187</f>
        <v>0</v>
      </c>
    </row>
    <row r="76" spans="3:20">
      <c r="D76" s="1" t="s">
        <v>37</v>
      </c>
      <c r="E76" s="166" t="str">
        <f>+E75</f>
        <v>(R$/Func./Mês)</v>
      </c>
      <c r="F76" s="247">
        <f>F$72*'2. COEFICIENTES'!F112*'3. PREÇOS INSUMOS'!G188</f>
        <v>0</v>
      </c>
      <c r="G76" s="247">
        <f>G$72*'2. COEFICIENTES'!G112*'3. PREÇOS INSUMOS'!H188</f>
        <v>0</v>
      </c>
      <c r="H76" s="247">
        <f>H$72*'2. COEFICIENTES'!H112*'3. PREÇOS INSUMOS'!I188</f>
        <v>0</v>
      </c>
      <c r="I76" s="247">
        <f>I$72*'2. COEFICIENTES'!I112*'3. PREÇOS INSUMOS'!J188</f>
        <v>0</v>
      </c>
      <c r="J76" s="247">
        <f>J$72*'2. COEFICIENTES'!J112*'3. PREÇOS INSUMOS'!K188</f>
        <v>0</v>
      </c>
      <c r="K76" s="247">
        <f>K$72*'2. COEFICIENTES'!K112*'3. PREÇOS INSUMOS'!L188</f>
        <v>0</v>
      </c>
      <c r="L76" s="247">
        <f>L$72*'2. COEFICIENTES'!L112*'3. PREÇOS INSUMOS'!M188</f>
        <v>0</v>
      </c>
      <c r="M76" s="247">
        <f>M$72*'2. COEFICIENTES'!M112*'3. PREÇOS INSUMOS'!N188</f>
        <v>0</v>
      </c>
      <c r="N76" s="247">
        <f>N$72*'2. COEFICIENTES'!N112*'3. PREÇOS INSUMOS'!O188</f>
        <v>0</v>
      </c>
      <c r="O76" s="247">
        <f>O$72*'2. COEFICIENTES'!O112*'3. PREÇOS INSUMOS'!P188</f>
        <v>0</v>
      </c>
      <c r="P76" s="247">
        <f>P$72*'2. COEFICIENTES'!P112*'3. PREÇOS INSUMOS'!Q188</f>
        <v>0</v>
      </c>
      <c r="Q76" s="247">
        <f>Q$72*'2. COEFICIENTES'!Q112*'3. PREÇOS INSUMOS'!R188</f>
        <v>0</v>
      </c>
      <c r="R76" s="247">
        <f>R$72*'2. COEFICIENTES'!R112*'3. PREÇOS INSUMOS'!S188</f>
        <v>0</v>
      </c>
      <c r="S76" s="247">
        <f>S$72*'2. COEFICIENTES'!S112*'3. PREÇOS INSUMOS'!T188</f>
        <v>0</v>
      </c>
      <c r="T76" s="188">
        <f>T$72*'2. COEFICIENTES'!T112*'3. PREÇOS INSUMOS'!U188</f>
        <v>0</v>
      </c>
    </row>
    <row r="77" spans="3:20">
      <c r="D77" s="173" t="s">
        <v>216</v>
      </c>
      <c r="E77" s="207" t="str">
        <f>+E76</f>
        <v>(R$/Func./Mês)</v>
      </c>
      <c r="F77" s="252">
        <f>(F$72*'2. COEFICIENTES'!F113*'3. PREÇOS INSUMOS'!G189)/3</f>
        <v>0</v>
      </c>
      <c r="G77" s="252">
        <f>(G$72*'2. COEFICIENTES'!G113*'3. PREÇOS INSUMOS'!H189)/3</f>
        <v>0</v>
      </c>
      <c r="H77" s="252">
        <f>(H$72*'2. COEFICIENTES'!H113*'3. PREÇOS INSUMOS'!I189)/3</f>
        <v>0</v>
      </c>
      <c r="I77" s="252">
        <f>(I$72*'2. COEFICIENTES'!I113*'3. PREÇOS INSUMOS'!J189)/3</f>
        <v>0</v>
      </c>
      <c r="J77" s="252">
        <f>(J$72*'2. COEFICIENTES'!J113*'3. PREÇOS INSUMOS'!K189)/3</f>
        <v>0</v>
      </c>
      <c r="K77" s="252">
        <f>(K$72*'2. COEFICIENTES'!K113*'3. PREÇOS INSUMOS'!L189)/3</f>
        <v>0</v>
      </c>
      <c r="L77" s="252">
        <f>(L$72*'2. COEFICIENTES'!L113*'3. PREÇOS INSUMOS'!M189)/3</f>
        <v>0</v>
      </c>
      <c r="M77" s="252">
        <f>(M$72*'2. COEFICIENTES'!M113*'3. PREÇOS INSUMOS'!N189)/3</f>
        <v>0</v>
      </c>
      <c r="N77" s="252">
        <f>(N$72*'2. COEFICIENTES'!N113*'3. PREÇOS INSUMOS'!O189)/3</f>
        <v>0</v>
      </c>
      <c r="O77" s="252">
        <f>(O$72*'2. COEFICIENTES'!O113*'3. PREÇOS INSUMOS'!P189)/3</f>
        <v>0</v>
      </c>
      <c r="P77" s="252">
        <f>(P$72*'2. COEFICIENTES'!P113*'3. PREÇOS INSUMOS'!Q189)/3</f>
        <v>0</v>
      </c>
      <c r="Q77" s="252">
        <f>(Q$72*'2. COEFICIENTES'!Q113*'3. PREÇOS INSUMOS'!R189)/3</f>
        <v>0</v>
      </c>
      <c r="R77" s="252">
        <f>(R$72*'2. COEFICIENTES'!R113*'3. PREÇOS INSUMOS'!S189)/3</f>
        <v>0</v>
      </c>
      <c r="S77" s="252">
        <f>(S$72*'2. COEFICIENTES'!S113*'3. PREÇOS INSUMOS'!T189)/3</f>
        <v>0</v>
      </c>
      <c r="T77" s="383">
        <f>(T$72*'2. COEFICIENTES'!T113*'3. PREÇOS INSUMOS'!U189)/3</f>
        <v>0</v>
      </c>
    </row>
    <row r="78" spans="3:20">
      <c r="C78" s="174"/>
      <c r="D78" s="174" t="s">
        <v>194</v>
      </c>
      <c r="E78" s="176" t="s">
        <v>70</v>
      </c>
      <c r="F78" s="196">
        <f>SUM(F73:F77)</f>
        <v>14982.564</v>
      </c>
      <c r="G78" s="197">
        <f t="shared" ref="G78:T78" si="21">SUM(G73:G77)</f>
        <v>14982.564</v>
      </c>
      <c r="H78" s="197">
        <f t="shared" si="21"/>
        <v>14982.564</v>
      </c>
      <c r="I78" s="197">
        <f t="shared" si="21"/>
        <v>14982.564</v>
      </c>
      <c r="J78" s="197">
        <f t="shared" si="21"/>
        <v>14982.564</v>
      </c>
      <c r="K78" s="197">
        <f t="shared" si="21"/>
        <v>14982.564</v>
      </c>
      <c r="L78" s="197">
        <f t="shared" si="21"/>
        <v>14982.564</v>
      </c>
      <c r="M78" s="197">
        <f t="shared" si="21"/>
        <v>14982.564</v>
      </c>
      <c r="N78" s="197">
        <f t="shared" si="21"/>
        <v>14982.564</v>
      </c>
      <c r="O78" s="197">
        <f t="shared" si="21"/>
        <v>14982.564</v>
      </c>
      <c r="P78" s="197">
        <f t="shared" si="21"/>
        <v>14982.564</v>
      </c>
      <c r="Q78" s="197">
        <f t="shared" si="21"/>
        <v>14982.564</v>
      </c>
      <c r="R78" s="197">
        <f t="shared" si="21"/>
        <v>14982.564</v>
      </c>
      <c r="S78" s="197">
        <f t="shared" si="21"/>
        <v>14982.564</v>
      </c>
      <c r="T78" s="198">
        <f t="shared" si="21"/>
        <v>14982.564</v>
      </c>
    </row>
    <row r="79" spans="3:20">
      <c r="C79" s="174"/>
      <c r="D79" s="175" t="s">
        <v>194</v>
      </c>
      <c r="E79" s="211" t="s">
        <v>167</v>
      </c>
      <c r="F79" s="196">
        <f t="shared" ref="F79:T79" si="22">+F78*12</f>
        <v>179790.76800000001</v>
      </c>
      <c r="G79" s="197">
        <f t="shared" si="22"/>
        <v>179790.76800000001</v>
      </c>
      <c r="H79" s="197">
        <f t="shared" si="22"/>
        <v>179790.76800000001</v>
      </c>
      <c r="I79" s="197">
        <f t="shared" si="22"/>
        <v>179790.76800000001</v>
      </c>
      <c r="J79" s="197">
        <f t="shared" si="22"/>
        <v>179790.76800000001</v>
      </c>
      <c r="K79" s="197">
        <f t="shared" si="22"/>
        <v>179790.76800000001</v>
      </c>
      <c r="L79" s="197">
        <f t="shared" si="22"/>
        <v>179790.76800000001</v>
      </c>
      <c r="M79" s="197">
        <f t="shared" si="22"/>
        <v>179790.76800000001</v>
      </c>
      <c r="N79" s="197">
        <f t="shared" si="22"/>
        <v>179790.76800000001</v>
      </c>
      <c r="O79" s="197">
        <f t="shared" si="22"/>
        <v>179790.76800000001</v>
      </c>
      <c r="P79" s="197">
        <f t="shared" si="22"/>
        <v>179790.76800000001</v>
      </c>
      <c r="Q79" s="197">
        <f t="shared" si="22"/>
        <v>179790.76800000001</v>
      </c>
      <c r="R79" s="197">
        <f t="shared" si="22"/>
        <v>179790.76800000001</v>
      </c>
      <c r="S79" s="197">
        <f t="shared" si="22"/>
        <v>179790.76800000001</v>
      </c>
      <c r="T79" s="198">
        <f t="shared" si="22"/>
        <v>179790.76800000001</v>
      </c>
    </row>
    <row r="82" spans="3:20" ht="15.75">
      <c r="C82" s="381" t="str">
        <f>+MENU!$C$81</f>
        <v>5.5. - RESUMO DA TOTALIZAÇÃO DOS CUSTOS FIXOS (PESSOAL)</v>
      </c>
    </row>
    <row r="83" spans="3:20" ht="13.5" thickBot="1">
      <c r="C83" s="4"/>
    </row>
    <row r="84" spans="3:20" ht="18" customHeight="1">
      <c r="C84" s="707" t="s">
        <v>168</v>
      </c>
      <c r="D84" s="707"/>
      <c r="E84" s="582" t="s">
        <v>6</v>
      </c>
      <c r="F84" s="583">
        <v>1</v>
      </c>
      <c r="G84" s="584">
        <f t="shared" ref="G84:T84" si="23">+F84+1</f>
        <v>2</v>
      </c>
      <c r="H84" s="584">
        <f t="shared" si="23"/>
        <v>3</v>
      </c>
      <c r="I84" s="584">
        <f t="shared" si="23"/>
        <v>4</v>
      </c>
      <c r="J84" s="584">
        <f t="shared" si="23"/>
        <v>5</v>
      </c>
      <c r="K84" s="584">
        <f t="shared" si="23"/>
        <v>6</v>
      </c>
      <c r="L84" s="584">
        <f t="shared" si="23"/>
        <v>7</v>
      </c>
      <c r="M84" s="584">
        <f t="shared" si="23"/>
        <v>8</v>
      </c>
      <c r="N84" s="584">
        <f t="shared" si="23"/>
        <v>9</v>
      </c>
      <c r="O84" s="584">
        <f t="shared" si="23"/>
        <v>10</v>
      </c>
      <c r="P84" s="584">
        <f t="shared" si="23"/>
        <v>11</v>
      </c>
      <c r="Q84" s="584">
        <f t="shared" si="23"/>
        <v>12</v>
      </c>
      <c r="R84" s="584">
        <f t="shared" si="23"/>
        <v>13</v>
      </c>
      <c r="S84" s="584">
        <f t="shared" si="23"/>
        <v>14</v>
      </c>
      <c r="T84" s="585">
        <f t="shared" si="23"/>
        <v>15</v>
      </c>
    </row>
    <row r="85" spans="3:20" ht="18" customHeight="1">
      <c r="D85" s="216" t="s">
        <v>169</v>
      </c>
      <c r="E85" s="225" t="s">
        <v>70</v>
      </c>
      <c r="F85" s="221">
        <f>+F18</f>
        <v>72654.308046216</v>
      </c>
      <c r="G85" s="97">
        <f t="shared" ref="G85:T85" si="24">+G18</f>
        <v>84213.792595608014</v>
      </c>
      <c r="H85" s="97">
        <f t="shared" si="24"/>
        <v>84213.792595608014</v>
      </c>
      <c r="I85" s="97">
        <f t="shared" si="24"/>
        <v>84213.792595608014</v>
      </c>
      <c r="J85" s="97">
        <f t="shared" si="24"/>
        <v>84213.792595608014</v>
      </c>
      <c r="K85" s="97">
        <f t="shared" si="24"/>
        <v>84213.792595608014</v>
      </c>
      <c r="L85" s="97">
        <f t="shared" si="24"/>
        <v>84213.792595608014</v>
      </c>
      <c r="M85" s="97">
        <f t="shared" si="24"/>
        <v>84213.792595608014</v>
      </c>
      <c r="N85" s="97">
        <f t="shared" si="24"/>
        <v>84213.792595608014</v>
      </c>
      <c r="O85" s="97">
        <f t="shared" si="24"/>
        <v>84213.792595608014</v>
      </c>
      <c r="P85" s="97">
        <f t="shared" si="24"/>
        <v>84213.792595608014</v>
      </c>
      <c r="Q85" s="97">
        <f t="shared" si="24"/>
        <v>84213.792595608014</v>
      </c>
      <c r="R85" s="97">
        <f t="shared" si="24"/>
        <v>84213.792595608014</v>
      </c>
      <c r="S85" s="97">
        <f t="shared" si="24"/>
        <v>84213.792595608014</v>
      </c>
      <c r="T85" s="98">
        <f t="shared" si="24"/>
        <v>84213.792595608014</v>
      </c>
    </row>
    <row r="86" spans="3:20" ht="18" customHeight="1">
      <c r="D86" s="217" t="s">
        <v>170</v>
      </c>
      <c r="E86" s="226" t="str">
        <f>+E85</f>
        <v>(R$/mês)</v>
      </c>
      <c r="F86" s="222">
        <f>+F28</f>
        <v>7552.3377088800007</v>
      </c>
      <c r="G86" s="69">
        <f t="shared" ref="G86:T86" si="25">+G28</f>
        <v>8753.9337794400017</v>
      </c>
      <c r="H86" s="69">
        <f t="shared" si="25"/>
        <v>8753.9337794400017</v>
      </c>
      <c r="I86" s="69">
        <f t="shared" si="25"/>
        <v>8753.9337794400017</v>
      </c>
      <c r="J86" s="69">
        <f t="shared" si="25"/>
        <v>8753.9337794400017</v>
      </c>
      <c r="K86" s="69">
        <f t="shared" si="25"/>
        <v>8753.9337794400017</v>
      </c>
      <c r="L86" s="69">
        <f t="shared" si="25"/>
        <v>8753.9337794400017</v>
      </c>
      <c r="M86" s="69">
        <f t="shared" si="25"/>
        <v>8753.9337794400017</v>
      </c>
      <c r="N86" s="69">
        <f t="shared" si="25"/>
        <v>8753.9337794400017</v>
      </c>
      <c r="O86" s="69">
        <f t="shared" si="25"/>
        <v>8753.9337794400017</v>
      </c>
      <c r="P86" s="69">
        <f t="shared" si="25"/>
        <v>8753.9337794400017</v>
      </c>
      <c r="Q86" s="69">
        <f t="shared" si="25"/>
        <v>8753.9337794400017</v>
      </c>
      <c r="R86" s="69">
        <f t="shared" si="25"/>
        <v>8753.9337794400017</v>
      </c>
      <c r="S86" s="69">
        <f t="shared" si="25"/>
        <v>8753.9337794400017</v>
      </c>
      <c r="T86" s="70">
        <f t="shared" si="25"/>
        <v>8753.9337794400017</v>
      </c>
    </row>
    <row r="87" spans="3:20" ht="18" customHeight="1">
      <c r="D87" s="202" t="s">
        <v>171</v>
      </c>
      <c r="E87" s="227" t="str">
        <f>+E86</f>
        <v>(R$/mês)</v>
      </c>
      <c r="F87" s="222">
        <f>+F38</f>
        <v>4112.0524627200011</v>
      </c>
      <c r="G87" s="69">
        <f t="shared" ref="G87:T87" si="26">+G38</f>
        <v>4766.2904313600011</v>
      </c>
      <c r="H87" s="69">
        <f t="shared" si="26"/>
        <v>4766.2904313600011</v>
      </c>
      <c r="I87" s="69">
        <f t="shared" si="26"/>
        <v>4766.2904313600011</v>
      </c>
      <c r="J87" s="69">
        <f t="shared" si="26"/>
        <v>4766.2904313600011</v>
      </c>
      <c r="K87" s="69">
        <f t="shared" si="26"/>
        <v>4766.2904313600011</v>
      </c>
      <c r="L87" s="69">
        <f t="shared" si="26"/>
        <v>4766.2904313600011</v>
      </c>
      <c r="M87" s="69">
        <f t="shared" si="26"/>
        <v>4766.2904313600011</v>
      </c>
      <c r="N87" s="69">
        <f t="shared" si="26"/>
        <v>4766.2904313600011</v>
      </c>
      <c r="O87" s="69">
        <f t="shared" si="26"/>
        <v>4766.2904313600011</v>
      </c>
      <c r="P87" s="69">
        <f t="shared" si="26"/>
        <v>4766.2904313600011</v>
      </c>
      <c r="Q87" s="69">
        <f t="shared" si="26"/>
        <v>4766.2904313600011</v>
      </c>
      <c r="R87" s="69">
        <f t="shared" si="26"/>
        <v>4766.2904313600011</v>
      </c>
      <c r="S87" s="69">
        <f t="shared" si="26"/>
        <v>4766.2904313600011</v>
      </c>
      <c r="T87" s="70">
        <f t="shared" si="26"/>
        <v>4766.2904313600011</v>
      </c>
    </row>
    <row r="88" spans="3:20" ht="18" customHeight="1">
      <c r="D88" s="202" t="s">
        <v>172</v>
      </c>
      <c r="E88" s="227" t="str">
        <f>+E87</f>
        <v>(R$/mês)</v>
      </c>
      <c r="F88" s="222">
        <f>+F50</f>
        <v>10539.837277227001</v>
      </c>
      <c r="G88" s="69">
        <f t="shared" ref="G88:T88" si="27">+G50</f>
        <v>12216.752100801003</v>
      </c>
      <c r="H88" s="69">
        <f t="shared" si="27"/>
        <v>12216.752100801003</v>
      </c>
      <c r="I88" s="69">
        <f t="shared" si="27"/>
        <v>12216.752100801003</v>
      </c>
      <c r="J88" s="69">
        <f t="shared" si="27"/>
        <v>12216.752100801003</v>
      </c>
      <c r="K88" s="69">
        <f t="shared" si="27"/>
        <v>12216.752100801003</v>
      </c>
      <c r="L88" s="69">
        <f t="shared" si="27"/>
        <v>12216.752100801003</v>
      </c>
      <c r="M88" s="69">
        <f t="shared" si="27"/>
        <v>12216.752100801003</v>
      </c>
      <c r="N88" s="69">
        <f t="shared" si="27"/>
        <v>12216.752100801003</v>
      </c>
      <c r="O88" s="69">
        <f t="shared" si="27"/>
        <v>12216.752100801003</v>
      </c>
      <c r="P88" s="69">
        <f t="shared" si="27"/>
        <v>12216.752100801003</v>
      </c>
      <c r="Q88" s="69">
        <f t="shared" si="27"/>
        <v>12216.752100801003</v>
      </c>
      <c r="R88" s="69">
        <f t="shared" si="27"/>
        <v>12216.752100801003</v>
      </c>
      <c r="S88" s="69">
        <f t="shared" si="27"/>
        <v>12216.752100801003</v>
      </c>
      <c r="T88" s="70">
        <f t="shared" si="27"/>
        <v>12216.752100801003</v>
      </c>
    </row>
    <row r="89" spans="3:20" ht="18" customHeight="1">
      <c r="D89" s="218" t="s">
        <v>173</v>
      </c>
      <c r="E89" s="246" t="str">
        <f>+E88</f>
        <v>(R$/mês)</v>
      </c>
      <c r="F89" s="222">
        <f>+F59</f>
        <v>7167.0893485143615</v>
      </c>
      <c r="G89" s="69">
        <f t="shared" ref="G89:T89" si="28">+G59</f>
        <v>8307.3914285446826</v>
      </c>
      <c r="H89" s="69">
        <f t="shared" si="28"/>
        <v>8307.3914285446826</v>
      </c>
      <c r="I89" s="69">
        <f t="shared" si="28"/>
        <v>8307.3914285446826</v>
      </c>
      <c r="J89" s="69">
        <f t="shared" si="28"/>
        <v>8307.3914285446826</v>
      </c>
      <c r="K89" s="69">
        <f t="shared" si="28"/>
        <v>8307.3914285446826</v>
      </c>
      <c r="L89" s="69">
        <f t="shared" si="28"/>
        <v>8307.3914285446826</v>
      </c>
      <c r="M89" s="69">
        <f t="shared" si="28"/>
        <v>8307.3914285446826</v>
      </c>
      <c r="N89" s="69">
        <f t="shared" si="28"/>
        <v>8307.3914285446826</v>
      </c>
      <c r="O89" s="69">
        <f t="shared" si="28"/>
        <v>8307.3914285446826</v>
      </c>
      <c r="P89" s="69">
        <f t="shared" si="28"/>
        <v>8307.3914285446826</v>
      </c>
      <c r="Q89" s="69">
        <f t="shared" si="28"/>
        <v>8307.3914285446826</v>
      </c>
      <c r="R89" s="69">
        <f t="shared" si="28"/>
        <v>8307.3914285446826</v>
      </c>
      <c r="S89" s="69">
        <f t="shared" si="28"/>
        <v>8307.3914285446826</v>
      </c>
      <c r="T89" s="70">
        <f t="shared" si="28"/>
        <v>8307.3914285446826</v>
      </c>
    </row>
    <row r="90" spans="3:20" ht="18" customHeight="1" thickBot="1">
      <c r="D90" s="218" t="s">
        <v>185</v>
      </c>
      <c r="E90" s="166" t="s">
        <v>70</v>
      </c>
      <c r="F90" s="137">
        <f>+F78</f>
        <v>14982.564</v>
      </c>
      <c r="G90" s="99">
        <f t="shared" ref="G90:T90" si="29">+G78</f>
        <v>14982.564</v>
      </c>
      <c r="H90" s="99">
        <f t="shared" si="29"/>
        <v>14982.564</v>
      </c>
      <c r="I90" s="99">
        <f t="shared" si="29"/>
        <v>14982.564</v>
      </c>
      <c r="J90" s="99">
        <f t="shared" si="29"/>
        <v>14982.564</v>
      </c>
      <c r="K90" s="99">
        <f t="shared" si="29"/>
        <v>14982.564</v>
      </c>
      <c r="L90" s="99">
        <f t="shared" si="29"/>
        <v>14982.564</v>
      </c>
      <c r="M90" s="99">
        <f t="shared" si="29"/>
        <v>14982.564</v>
      </c>
      <c r="N90" s="99">
        <f t="shared" si="29"/>
        <v>14982.564</v>
      </c>
      <c r="O90" s="99">
        <f t="shared" si="29"/>
        <v>14982.564</v>
      </c>
      <c r="P90" s="99">
        <f t="shared" si="29"/>
        <v>14982.564</v>
      </c>
      <c r="Q90" s="99">
        <f t="shared" si="29"/>
        <v>14982.564</v>
      </c>
      <c r="R90" s="99">
        <f t="shared" si="29"/>
        <v>14982.564</v>
      </c>
      <c r="S90" s="99">
        <f t="shared" si="29"/>
        <v>14982.564</v>
      </c>
      <c r="T90" s="100">
        <f t="shared" si="29"/>
        <v>14982.564</v>
      </c>
    </row>
    <row r="91" spans="3:20" ht="18" customHeight="1">
      <c r="D91" s="219" t="s">
        <v>174</v>
      </c>
      <c r="E91" s="229" t="s">
        <v>70</v>
      </c>
      <c r="F91" s="223">
        <f>SUM(F85:F90)</f>
        <v>117008.18884355736</v>
      </c>
      <c r="G91" s="214">
        <f t="shared" ref="G91:S91" si="30">SUM(G85:G90)</f>
        <v>133240.72433575371</v>
      </c>
      <c r="H91" s="214">
        <f t="shared" si="30"/>
        <v>133240.72433575371</v>
      </c>
      <c r="I91" s="214">
        <f t="shared" si="30"/>
        <v>133240.72433575371</v>
      </c>
      <c r="J91" s="214">
        <f t="shared" si="30"/>
        <v>133240.72433575371</v>
      </c>
      <c r="K91" s="214">
        <f t="shared" si="30"/>
        <v>133240.72433575371</v>
      </c>
      <c r="L91" s="214">
        <f t="shared" si="30"/>
        <v>133240.72433575371</v>
      </c>
      <c r="M91" s="214">
        <f t="shared" si="30"/>
        <v>133240.72433575371</v>
      </c>
      <c r="N91" s="214">
        <f t="shared" si="30"/>
        <v>133240.72433575371</v>
      </c>
      <c r="O91" s="214">
        <f t="shared" si="30"/>
        <v>133240.72433575371</v>
      </c>
      <c r="P91" s="214">
        <f t="shared" si="30"/>
        <v>133240.72433575371</v>
      </c>
      <c r="Q91" s="214">
        <f t="shared" si="30"/>
        <v>133240.72433575371</v>
      </c>
      <c r="R91" s="214">
        <f t="shared" si="30"/>
        <v>133240.72433575371</v>
      </c>
      <c r="S91" s="214">
        <f t="shared" si="30"/>
        <v>133240.72433575371</v>
      </c>
      <c r="T91" s="215">
        <f>SUM(T85:T90)</f>
        <v>133240.72433575371</v>
      </c>
    </row>
    <row r="92" spans="3:20" ht="18" customHeight="1" thickBot="1">
      <c r="D92" s="220" t="s">
        <v>174</v>
      </c>
      <c r="E92" s="230" t="s">
        <v>167</v>
      </c>
      <c r="F92" s="224">
        <f>+F91*12</f>
        <v>1404098.2661226883</v>
      </c>
      <c r="G92" s="212">
        <f>+G91*12</f>
        <v>1598888.6920290445</v>
      </c>
      <c r="H92" s="212">
        <f t="shared" ref="H92:S92" si="31">+H91*12</f>
        <v>1598888.6920290445</v>
      </c>
      <c r="I92" s="212">
        <f t="shared" si="31"/>
        <v>1598888.6920290445</v>
      </c>
      <c r="J92" s="212">
        <f t="shared" si="31"/>
        <v>1598888.6920290445</v>
      </c>
      <c r="K92" s="212">
        <f t="shared" si="31"/>
        <v>1598888.6920290445</v>
      </c>
      <c r="L92" s="212">
        <f t="shared" si="31"/>
        <v>1598888.6920290445</v>
      </c>
      <c r="M92" s="212">
        <f t="shared" si="31"/>
        <v>1598888.6920290445</v>
      </c>
      <c r="N92" s="212">
        <f t="shared" si="31"/>
        <v>1598888.6920290445</v>
      </c>
      <c r="O92" s="212">
        <f t="shared" si="31"/>
        <v>1598888.6920290445</v>
      </c>
      <c r="P92" s="212">
        <f t="shared" si="31"/>
        <v>1598888.6920290445</v>
      </c>
      <c r="Q92" s="212">
        <f t="shared" si="31"/>
        <v>1598888.6920290445</v>
      </c>
      <c r="R92" s="212">
        <f t="shared" si="31"/>
        <v>1598888.6920290445</v>
      </c>
      <c r="S92" s="212">
        <f t="shared" si="31"/>
        <v>1598888.6920290445</v>
      </c>
      <c r="T92" s="213">
        <f>+T91*12</f>
        <v>1598888.6920290445</v>
      </c>
    </row>
    <row r="94" spans="3:20">
      <c r="F94" s="125"/>
    </row>
  </sheetData>
  <mergeCells count="7">
    <mergeCell ref="C84:D84"/>
    <mergeCell ref="C65:D65"/>
    <mergeCell ref="C13:D13"/>
    <mergeCell ref="C23:D23"/>
    <mergeCell ref="C33:D33"/>
    <mergeCell ref="C47:D47"/>
    <mergeCell ref="C56:D56"/>
  </mergeCells>
  <pageMargins left="0.51181102362204722" right="0.51181102362204722" top="0.78740157480314965" bottom="0.78740157480314965" header="0.31496062992125984" footer="0.31496062992125984"/>
  <pageSetup paperSize="9" scale="62" fitToHeight="2" orientation="landscape" verticalDpi="300" r:id="rId1"/>
  <rowBreaks count="1" manualBreakCount="1">
    <brk id="53" min="1" max="19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U100"/>
  <sheetViews>
    <sheetView showGridLines="0" view="pageBreakPreview" topLeftCell="A85" zoomScaleNormal="100" zoomScaleSheetLayoutView="100" workbookViewId="0">
      <selection activeCell="C88" sqref="C88:U97"/>
    </sheetView>
  </sheetViews>
  <sheetFormatPr defaultRowHeight="12.75" outlineLevelRow="1"/>
  <cols>
    <col min="1" max="1" width="1.140625" style="2" customWidth="1"/>
    <col min="2" max="2" width="2.42578125" style="2" customWidth="1"/>
    <col min="3" max="3" width="2.140625" style="2" customWidth="1"/>
    <col min="4" max="4" width="34.85546875" style="2" customWidth="1"/>
    <col min="5" max="5" width="10.5703125" style="5" bestFit="1" customWidth="1"/>
    <col min="6" max="6" width="9.85546875" style="5" customWidth="1"/>
    <col min="7" max="8" width="9.5703125" style="2" customWidth="1"/>
    <col min="9" max="9" width="10.28515625" style="2" bestFit="1" customWidth="1"/>
    <col min="10" max="21" width="9.5703125" style="2" customWidth="1"/>
    <col min="22" max="16384" width="9.140625" style="2"/>
  </cols>
  <sheetData>
    <row r="1" spans="1:21">
      <c r="B1" s="1"/>
      <c r="C1" s="1"/>
      <c r="D1" s="1"/>
      <c r="E1" s="36"/>
      <c r="F1" s="3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">
      <c r="B2" s="1"/>
      <c r="C2" s="1"/>
      <c r="D2" s="1"/>
      <c r="E2" s="403" t="s">
        <v>365</v>
      </c>
      <c r="F2" s="3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5">
      <c r="B3" s="1"/>
      <c r="C3" s="1"/>
      <c r="D3" s="1"/>
      <c r="E3" s="403" t="str">
        <f>MENU!$B$3&amp;"  -  "&amp;+MENU!$B$4</f>
        <v xml:space="preserve">CONCORRÊNCIA Nº 003/18  -  </v>
      </c>
      <c r="F3" s="3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3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7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7" t="str">
        <f>+MENU!$C$5</f>
        <v>DATA BASE DE CÁLCULO: MARÇO 2020</v>
      </c>
    </row>
    <row r="7" spans="1:21" ht="15.75">
      <c r="B7" s="381" t="str">
        <f>+MENU!$C$82</f>
        <v>6. - CÁLCULO DOS CUSTOS ADMINISTRATIVOS</v>
      </c>
    </row>
    <row r="9" spans="1:21" ht="15.75">
      <c r="C9" s="381" t="str">
        <f>+MENU!$C$83</f>
        <v>6.1. - CÁLCULO DOS CUSTEIOS COM SEGUROS</v>
      </c>
    </row>
    <row r="11" spans="1:21" ht="15.75">
      <c r="C11" s="381" t="str">
        <f>+MENU!$C$84</f>
        <v>6.1.1. - CÁLCULO DOS CUSTEIOS COM SEGURO OBRIGATÓRIO</v>
      </c>
    </row>
    <row r="12" spans="1:21">
      <c r="C12" s="4"/>
    </row>
    <row r="13" spans="1:21" ht="18" customHeight="1">
      <c r="C13" s="694" t="s">
        <v>156</v>
      </c>
      <c r="D13" s="694"/>
      <c r="E13" s="712" t="s">
        <v>6</v>
      </c>
      <c r="F13" s="713"/>
      <c r="G13" s="586">
        <v>1</v>
      </c>
      <c r="H13" s="572">
        <f t="shared" ref="H13:U13" si="0">+G13+1</f>
        <v>2</v>
      </c>
      <c r="I13" s="572">
        <f t="shared" si="0"/>
        <v>3</v>
      </c>
      <c r="J13" s="572">
        <f t="shared" si="0"/>
        <v>4</v>
      </c>
      <c r="K13" s="572">
        <f t="shared" si="0"/>
        <v>5</v>
      </c>
      <c r="L13" s="572">
        <f t="shared" si="0"/>
        <v>6</v>
      </c>
      <c r="M13" s="572">
        <f t="shared" si="0"/>
        <v>7</v>
      </c>
      <c r="N13" s="572">
        <f t="shared" si="0"/>
        <v>8</v>
      </c>
      <c r="O13" s="572">
        <f t="shared" si="0"/>
        <v>9</v>
      </c>
      <c r="P13" s="572">
        <f t="shared" si="0"/>
        <v>10</v>
      </c>
      <c r="Q13" s="572">
        <f t="shared" si="0"/>
        <v>11</v>
      </c>
      <c r="R13" s="572">
        <f t="shared" si="0"/>
        <v>12</v>
      </c>
      <c r="S13" s="572">
        <f t="shared" si="0"/>
        <v>13</v>
      </c>
      <c r="T13" s="572">
        <f t="shared" si="0"/>
        <v>14</v>
      </c>
      <c r="U13" s="573">
        <f t="shared" si="0"/>
        <v>15</v>
      </c>
    </row>
    <row r="14" spans="1:21" outlineLevel="1">
      <c r="A14" s="2">
        <v>1</v>
      </c>
      <c r="D14" s="203" t="str">
        <f>"FROTA TOTAL - "&amp;VLOOKUP(A14,TIPOLOGIA!$D$10:$E$12,2,0)</f>
        <v>FROTA TOTAL - MICROÔNIBUS</v>
      </c>
      <c r="E14" s="714" t="s">
        <v>19</v>
      </c>
      <c r="F14" s="715"/>
      <c r="G14" s="183">
        <f>+'1. DADOS OPERACIONAIS'!$F$20</f>
        <v>4</v>
      </c>
      <c r="H14" s="184">
        <f>+'1. DADOS OPERACIONAIS'!G20</f>
        <v>4</v>
      </c>
      <c r="I14" s="184">
        <f>+'1. DADOS OPERACIONAIS'!H20</f>
        <v>4</v>
      </c>
      <c r="J14" s="184">
        <f>+'1. DADOS OPERACIONAIS'!I20</f>
        <v>4</v>
      </c>
      <c r="K14" s="184">
        <f>+'1. DADOS OPERACIONAIS'!J20</f>
        <v>4</v>
      </c>
      <c r="L14" s="184">
        <f>+'1. DADOS OPERACIONAIS'!K20</f>
        <v>4</v>
      </c>
      <c r="M14" s="184">
        <f>+'1. DADOS OPERACIONAIS'!L20</f>
        <v>4</v>
      </c>
      <c r="N14" s="184">
        <f>+'1. DADOS OPERACIONAIS'!M20</f>
        <v>4</v>
      </c>
      <c r="O14" s="184">
        <f>+'1. DADOS OPERACIONAIS'!N20</f>
        <v>4</v>
      </c>
      <c r="P14" s="184">
        <f>+'1. DADOS OPERACIONAIS'!O20</f>
        <v>4</v>
      </c>
      <c r="Q14" s="184">
        <f>+'1. DADOS OPERACIONAIS'!P20</f>
        <v>4</v>
      </c>
      <c r="R14" s="184">
        <f>+'1. DADOS OPERACIONAIS'!Q20</f>
        <v>4</v>
      </c>
      <c r="S14" s="184">
        <f>+'1. DADOS OPERACIONAIS'!R20</f>
        <v>4</v>
      </c>
      <c r="T14" s="184">
        <f>+'1. DADOS OPERACIONAIS'!S20</f>
        <v>4</v>
      </c>
      <c r="U14" s="185">
        <f>+'1. DADOS OPERACIONAIS'!T20</f>
        <v>4</v>
      </c>
    </row>
    <row r="15" spans="1:21" outlineLevel="1">
      <c r="A15" s="2">
        <v>2</v>
      </c>
      <c r="D15" s="205" t="str">
        <f>"FROTA TOTAL - "&amp;VLOOKUP(A15,TIPOLOGIA!$D$10:$E$12,2,0)</f>
        <v>FROTA TOTAL - CONVENCIONAL</v>
      </c>
      <c r="E15" s="716" t="str">
        <f>+E14</f>
        <v>(Veíc./Mês)</v>
      </c>
      <c r="F15" s="717"/>
      <c r="G15" s="291">
        <f>+'1. DADOS OPERACIONAIS'!F21</f>
        <v>10</v>
      </c>
      <c r="H15" s="263">
        <f>+'1. DADOS OPERACIONAIS'!G21</f>
        <v>10</v>
      </c>
      <c r="I15" s="263">
        <f>+'1. DADOS OPERACIONAIS'!H21</f>
        <v>10</v>
      </c>
      <c r="J15" s="263">
        <f>+'1. DADOS OPERACIONAIS'!I21</f>
        <v>10</v>
      </c>
      <c r="K15" s="263">
        <f>+'1. DADOS OPERACIONAIS'!J21</f>
        <v>10</v>
      </c>
      <c r="L15" s="263">
        <f>+'1. DADOS OPERACIONAIS'!K21</f>
        <v>10</v>
      </c>
      <c r="M15" s="263">
        <f>+'1. DADOS OPERACIONAIS'!L21</f>
        <v>10</v>
      </c>
      <c r="N15" s="263">
        <f>+'1. DADOS OPERACIONAIS'!M21</f>
        <v>10</v>
      </c>
      <c r="O15" s="263">
        <f>+'1. DADOS OPERACIONAIS'!N21</f>
        <v>10</v>
      </c>
      <c r="P15" s="263">
        <f>+'1. DADOS OPERACIONAIS'!O21</f>
        <v>10</v>
      </c>
      <c r="Q15" s="263">
        <f>+'1. DADOS OPERACIONAIS'!P21</f>
        <v>10</v>
      </c>
      <c r="R15" s="263">
        <f>+'1. DADOS OPERACIONAIS'!Q21</f>
        <v>10</v>
      </c>
      <c r="S15" s="263">
        <f>+'1. DADOS OPERACIONAIS'!R21</f>
        <v>10</v>
      </c>
      <c r="T15" s="263">
        <f>+'1. DADOS OPERACIONAIS'!S21</f>
        <v>10</v>
      </c>
      <c r="U15" s="264">
        <f>+'1. DADOS OPERACIONAIS'!T21</f>
        <v>10</v>
      </c>
    </row>
    <row r="16" spans="1:21" outlineLevel="1">
      <c r="A16" s="2">
        <v>3</v>
      </c>
      <c r="D16" s="206" t="str">
        <f>"FROTA TOTAL - "&amp;VLOOKUP(A16,TIPOLOGIA!$D$10:$E$12,2,0)</f>
        <v>FROTA TOTAL - -</v>
      </c>
      <c r="E16" s="710" t="str">
        <f>+E15</f>
        <v>(Veíc./Mês)</v>
      </c>
      <c r="F16" s="711"/>
      <c r="G16" s="292">
        <f>+'1. DADOS OPERACIONAIS'!F22</f>
        <v>0</v>
      </c>
      <c r="H16" s="265">
        <f>+'1. DADOS OPERACIONAIS'!G22</f>
        <v>0</v>
      </c>
      <c r="I16" s="265">
        <f>+'1. DADOS OPERACIONAIS'!H22</f>
        <v>0</v>
      </c>
      <c r="J16" s="265">
        <f>+'1. DADOS OPERACIONAIS'!I22</f>
        <v>0</v>
      </c>
      <c r="K16" s="265">
        <f>+'1. DADOS OPERACIONAIS'!J22</f>
        <v>0</v>
      </c>
      <c r="L16" s="265">
        <f>+'1. DADOS OPERACIONAIS'!K22</f>
        <v>0</v>
      </c>
      <c r="M16" s="265">
        <f>+'1. DADOS OPERACIONAIS'!L22</f>
        <v>0</v>
      </c>
      <c r="N16" s="265">
        <f>+'1. DADOS OPERACIONAIS'!M22</f>
        <v>0</v>
      </c>
      <c r="O16" s="265">
        <f>+'1. DADOS OPERACIONAIS'!N22</f>
        <v>0</v>
      </c>
      <c r="P16" s="265">
        <f>+'1. DADOS OPERACIONAIS'!O22</f>
        <v>0</v>
      </c>
      <c r="Q16" s="265">
        <f>+'1. DADOS OPERACIONAIS'!P22</f>
        <v>0</v>
      </c>
      <c r="R16" s="265">
        <f>+'1. DADOS OPERACIONAIS'!Q22</f>
        <v>0</v>
      </c>
      <c r="S16" s="265">
        <f>+'1. DADOS OPERACIONAIS'!R22</f>
        <v>0</v>
      </c>
      <c r="T16" s="265">
        <f>+'1. DADOS OPERACIONAIS'!S22</f>
        <v>0</v>
      </c>
      <c r="U16" s="266">
        <f>+'1. DADOS OPERACIONAIS'!T22</f>
        <v>0</v>
      </c>
    </row>
    <row r="17" spans="1:21" outlineLevel="1">
      <c r="D17" s="2" t="str">
        <f>"VALOR SEG. OBRIG. - "&amp;VLOOKUP(A14,TIPOLOGIA!$D$10:$E$12,2,0)</f>
        <v>VALOR SEG. OBRIG. - MICROÔNIBUS</v>
      </c>
      <c r="E17" s="714" t="s">
        <v>163</v>
      </c>
      <c r="F17" s="715"/>
      <c r="G17" s="186">
        <f>+'3. PREÇOS INSUMOS'!G160/12</f>
        <v>8.7141666666666655</v>
      </c>
      <c r="H17" s="187">
        <f>+'3. PREÇOS INSUMOS'!H160/12</f>
        <v>8.7141666666666655</v>
      </c>
      <c r="I17" s="187">
        <f>+'3. PREÇOS INSUMOS'!I160/12</f>
        <v>8.7141666666666655</v>
      </c>
      <c r="J17" s="187">
        <f>+'3. PREÇOS INSUMOS'!J160/12</f>
        <v>8.7141666666666655</v>
      </c>
      <c r="K17" s="187">
        <f>+'3. PREÇOS INSUMOS'!K160/12</f>
        <v>8.7141666666666655</v>
      </c>
      <c r="L17" s="187">
        <f>+'3. PREÇOS INSUMOS'!L160/12</f>
        <v>8.7141666666666655</v>
      </c>
      <c r="M17" s="187">
        <f>+'3. PREÇOS INSUMOS'!M160/12</f>
        <v>8.7141666666666655</v>
      </c>
      <c r="N17" s="187">
        <f>+'3. PREÇOS INSUMOS'!N160/12</f>
        <v>8.7141666666666655</v>
      </c>
      <c r="O17" s="187">
        <f>+'3. PREÇOS INSUMOS'!O160/12</f>
        <v>8.7141666666666655</v>
      </c>
      <c r="P17" s="187">
        <f>+'3. PREÇOS INSUMOS'!P160/12</f>
        <v>8.7141666666666655</v>
      </c>
      <c r="Q17" s="187">
        <f>+'3. PREÇOS INSUMOS'!Q160/12</f>
        <v>8.7141666666666655</v>
      </c>
      <c r="R17" s="187">
        <f>+'3. PREÇOS INSUMOS'!R160/12</f>
        <v>8.7141666666666655</v>
      </c>
      <c r="S17" s="187">
        <f>+'3. PREÇOS INSUMOS'!S160/12</f>
        <v>8.7141666666666655</v>
      </c>
      <c r="T17" s="187">
        <f>+'3. PREÇOS INSUMOS'!T160/12</f>
        <v>8.7141666666666655</v>
      </c>
      <c r="U17" s="188">
        <f>+'3. PREÇOS INSUMOS'!U160/12</f>
        <v>8.7141666666666655</v>
      </c>
    </row>
    <row r="18" spans="1:21" outlineLevel="1">
      <c r="D18" s="2" t="str">
        <f>"VALOR SEG. OBRIG. - "&amp;VLOOKUP(A15,TIPOLOGIA!$D$10:$E$12,2,0)</f>
        <v>VALOR SEG. OBRIG. - CONVENCIONAL</v>
      </c>
      <c r="E18" s="716" t="s">
        <v>163</v>
      </c>
      <c r="F18" s="717"/>
      <c r="G18" s="186">
        <f>+'3. PREÇOS INSUMOS'!G161/12</f>
        <v>8.7141666666666655</v>
      </c>
      <c r="H18" s="187">
        <f>+'3. PREÇOS INSUMOS'!H161/12</f>
        <v>8.7141666666666655</v>
      </c>
      <c r="I18" s="187">
        <f>+'3. PREÇOS INSUMOS'!I161/12</f>
        <v>8.7141666666666655</v>
      </c>
      <c r="J18" s="187">
        <f>+'3. PREÇOS INSUMOS'!J161/12</f>
        <v>8.7141666666666655</v>
      </c>
      <c r="K18" s="187">
        <f>+'3. PREÇOS INSUMOS'!K161/12</f>
        <v>8.7141666666666655</v>
      </c>
      <c r="L18" s="187">
        <f>+'3. PREÇOS INSUMOS'!L161/12</f>
        <v>8.7141666666666655</v>
      </c>
      <c r="M18" s="187">
        <f>+'3. PREÇOS INSUMOS'!M161/12</f>
        <v>8.7141666666666655</v>
      </c>
      <c r="N18" s="187">
        <f>+'3. PREÇOS INSUMOS'!N161/12</f>
        <v>8.7141666666666655</v>
      </c>
      <c r="O18" s="187">
        <f>+'3. PREÇOS INSUMOS'!O161/12</f>
        <v>8.7141666666666655</v>
      </c>
      <c r="P18" s="187">
        <f>+'3. PREÇOS INSUMOS'!P161/12</f>
        <v>8.7141666666666655</v>
      </c>
      <c r="Q18" s="187">
        <f>+'3. PREÇOS INSUMOS'!Q161/12</f>
        <v>8.7141666666666655</v>
      </c>
      <c r="R18" s="187">
        <f>+'3. PREÇOS INSUMOS'!R161/12</f>
        <v>8.7141666666666655</v>
      </c>
      <c r="S18" s="187">
        <f>+'3. PREÇOS INSUMOS'!S161/12</f>
        <v>8.7141666666666655</v>
      </c>
      <c r="T18" s="187">
        <f>+'3. PREÇOS INSUMOS'!T161/12</f>
        <v>8.7141666666666655</v>
      </c>
      <c r="U18" s="188">
        <f>+'3. PREÇOS INSUMOS'!U161/12</f>
        <v>8.7141666666666655</v>
      </c>
    </row>
    <row r="19" spans="1:21" outlineLevel="1">
      <c r="D19" s="2" t="str">
        <f>"VALOR SEG. OBRIG. - "&amp;VLOOKUP(A16,TIPOLOGIA!$D$10:$E$12,2,0)</f>
        <v>VALOR SEG. OBRIG. - -</v>
      </c>
      <c r="E19" s="710" t="s">
        <v>163</v>
      </c>
      <c r="F19" s="711"/>
      <c r="G19" s="186">
        <f>+'3. PREÇOS INSUMOS'!G162/12</f>
        <v>0</v>
      </c>
      <c r="H19" s="187">
        <f>+'3. PREÇOS INSUMOS'!H162/12</f>
        <v>0</v>
      </c>
      <c r="I19" s="187">
        <f>+'3. PREÇOS INSUMOS'!I162/12</f>
        <v>0</v>
      </c>
      <c r="J19" s="187">
        <f>+'3. PREÇOS INSUMOS'!J162/12</f>
        <v>0</v>
      </c>
      <c r="K19" s="187">
        <f>+'3. PREÇOS INSUMOS'!K162/12</f>
        <v>0</v>
      </c>
      <c r="L19" s="187">
        <f>+'3. PREÇOS INSUMOS'!L162/12</f>
        <v>0</v>
      </c>
      <c r="M19" s="187">
        <f>+'3. PREÇOS INSUMOS'!M162/12</f>
        <v>0</v>
      </c>
      <c r="N19" s="187">
        <f>+'3. PREÇOS INSUMOS'!N162/12</f>
        <v>0</v>
      </c>
      <c r="O19" s="187">
        <f>+'3. PREÇOS INSUMOS'!O162/12</f>
        <v>0</v>
      </c>
      <c r="P19" s="187">
        <f>+'3. PREÇOS INSUMOS'!P162/12</f>
        <v>0</v>
      </c>
      <c r="Q19" s="187">
        <f>+'3. PREÇOS INSUMOS'!Q162/12</f>
        <v>0</v>
      </c>
      <c r="R19" s="187">
        <f>+'3. PREÇOS INSUMOS'!R162/12</f>
        <v>0</v>
      </c>
      <c r="S19" s="187">
        <f>+'3. PREÇOS INSUMOS'!S162/12</f>
        <v>0</v>
      </c>
      <c r="T19" s="187">
        <f>+'3. PREÇOS INSUMOS'!T162/12</f>
        <v>0</v>
      </c>
      <c r="U19" s="188">
        <f>+'3. PREÇOS INSUMOS'!U162/12</f>
        <v>0</v>
      </c>
    </row>
    <row r="20" spans="1:21">
      <c r="C20" s="174"/>
      <c r="D20" s="174" t="s">
        <v>164</v>
      </c>
      <c r="E20" s="708" t="s">
        <v>163</v>
      </c>
      <c r="F20" s="709"/>
      <c r="G20" s="196">
        <f>G14*G17+G15*G18+G16*G19</f>
        <v>121.99833333333331</v>
      </c>
      <c r="H20" s="197">
        <f t="shared" ref="H20:U20" si="1">H14*H17+H15*H18+H16*H19</f>
        <v>121.99833333333331</v>
      </c>
      <c r="I20" s="197">
        <f t="shared" si="1"/>
        <v>121.99833333333331</v>
      </c>
      <c r="J20" s="197">
        <f t="shared" si="1"/>
        <v>121.99833333333331</v>
      </c>
      <c r="K20" s="197">
        <f t="shared" si="1"/>
        <v>121.99833333333331</v>
      </c>
      <c r="L20" s="197">
        <f t="shared" si="1"/>
        <v>121.99833333333331</v>
      </c>
      <c r="M20" s="197">
        <f t="shared" si="1"/>
        <v>121.99833333333331</v>
      </c>
      <c r="N20" s="197">
        <f t="shared" si="1"/>
        <v>121.99833333333331</v>
      </c>
      <c r="O20" s="197">
        <f t="shared" si="1"/>
        <v>121.99833333333331</v>
      </c>
      <c r="P20" s="197">
        <f t="shared" si="1"/>
        <v>121.99833333333331</v>
      </c>
      <c r="Q20" s="197">
        <f t="shared" si="1"/>
        <v>121.99833333333331</v>
      </c>
      <c r="R20" s="197">
        <f t="shared" si="1"/>
        <v>121.99833333333331</v>
      </c>
      <c r="S20" s="197">
        <f t="shared" si="1"/>
        <v>121.99833333333331</v>
      </c>
      <c r="T20" s="197">
        <f t="shared" si="1"/>
        <v>121.99833333333331</v>
      </c>
      <c r="U20" s="198">
        <f t="shared" si="1"/>
        <v>121.99833333333331</v>
      </c>
    </row>
    <row r="21" spans="1:21">
      <c r="C21" s="174"/>
      <c r="D21" s="174" t="s">
        <v>164</v>
      </c>
      <c r="E21" s="708" t="s">
        <v>167</v>
      </c>
      <c r="F21" s="709"/>
      <c r="G21" s="196">
        <f>+G20*12</f>
        <v>1463.9799999999996</v>
      </c>
      <c r="H21" s="197">
        <f t="shared" ref="H21:U21" si="2">+H20*12</f>
        <v>1463.9799999999996</v>
      </c>
      <c r="I21" s="197">
        <f t="shared" si="2"/>
        <v>1463.9799999999996</v>
      </c>
      <c r="J21" s="197">
        <f t="shared" si="2"/>
        <v>1463.9799999999996</v>
      </c>
      <c r="K21" s="197">
        <f t="shared" si="2"/>
        <v>1463.9799999999996</v>
      </c>
      <c r="L21" s="197">
        <f t="shared" si="2"/>
        <v>1463.9799999999996</v>
      </c>
      <c r="M21" s="197">
        <f t="shared" si="2"/>
        <v>1463.9799999999996</v>
      </c>
      <c r="N21" s="197">
        <f t="shared" si="2"/>
        <v>1463.9799999999996</v>
      </c>
      <c r="O21" s="197">
        <f t="shared" si="2"/>
        <v>1463.9799999999996</v>
      </c>
      <c r="P21" s="197">
        <f t="shared" si="2"/>
        <v>1463.9799999999996</v>
      </c>
      <c r="Q21" s="197">
        <f t="shared" si="2"/>
        <v>1463.9799999999996</v>
      </c>
      <c r="R21" s="197">
        <f t="shared" si="2"/>
        <v>1463.9799999999996</v>
      </c>
      <c r="S21" s="197">
        <f t="shared" si="2"/>
        <v>1463.9799999999996</v>
      </c>
      <c r="T21" s="197">
        <f t="shared" si="2"/>
        <v>1463.9799999999996</v>
      </c>
      <c r="U21" s="198">
        <f t="shared" si="2"/>
        <v>1463.9799999999996</v>
      </c>
    </row>
    <row r="23" spans="1:21" ht="15.75">
      <c r="C23" s="381" t="str">
        <f>+MENU!$C$85</f>
        <v>6.1.2. - CÁLCULO DOS CUSTEIOS COM SEGURO RESPONSABILIDADE CIVIL</v>
      </c>
    </row>
    <row r="24" spans="1:21">
      <c r="C24" s="4"/>
    </row>
    <row r="25" spans="1:21" ht="18" customHeight="1">
      <c r="C25" s="694" t="s">
        <v>456</v>
      </c>
      <c r="D25" s="694"/>
      <c r="E25" s="712" t="s">
        <v>6</v>
      </c>
      <c r="F25" s="713"/>
      <c r="G25" s="586">
        <v>1</v>
      </c>
      <c r="H25" s="572">
        <f t="shared" ref="H25:U25" si="3">+G25+1</f>
        <v>2</v>
      </c>
      <c r="I25" s="572">
        <f t="shared" si="3"/>
        <v>3</v>
      </c>
      <c r="J25" s="572">
        <f t="shared" si="3"/>
        <v>4</v>
      </c>
      <c r="K25" s="572">
        <f t="shared" si="3"/>
        <v>5</v>
      </c>
      <c r="L25" s="572">
        <f t="shared" si="3"/>
        <v>6</v>
      </c>
      <c r="M25" s="572">
        <f t="shared" si="3"/>
        <v>7</v>
      </c>
      <c r="N25" s="572">
        <f t="shared" si="3"/>
        <v>8</v>
      </c>
      <c r="O25" s="572">
        <f t="shared" si="3"/>
        <v>9</v>
      </c>
      <c r="P25" s="572">
        <f t="shared" si="3"/>
        <v>10</v>
      </c>
      <c r="Q25" s="572">
        <f t="shared" si="3"/>
        <v>11</v>
      </c>
      <c r="R25" s="572">
        <f t="shared" si="3"/>
        <v>12</v>
      </c>
      <c r="S25" s="572">
        <f t="shared" si="3"/>
        <v>13</v>
      </c>
      <c r="T25" s="572">
        <f t="shared" si="3"/>
        <v>14</v>
      </c>
      <c r="U25" s="573">
        <f t="shared" si="3"/>
        <v>15</v>
      </c>
    </row>
    <row r="26" spans="1:21" outlineLevel="1">
      <c r="A26" s="2">
        <v>1</v>
      </c>
      <c r="D26" s="203" t="str">
        <f>"FROTA TOTAL - "&amp;VLOOKUP(A26,TIPOLOGIA!$D$10:$E$12,2,0)</f>
        <v>FROTA TOTAL - MICROÔNIBUS</v>
      </c>
      <c r="E26" s="714" t="s">
        <v>19</v>
      </c>
      <c r="F26" s="715"/>
      <c r="G26" s="180">
        <f>+'1. DADOS OPERACIONAIS'!F20</f>
        <v>4</v>
      </c>
      <c r="H26" s="181">
        <f>+'1. DADOS OPERACIONAIS'!G20</f>
        <v>4</v>
      </c>
      <c r="I26" s="181">
        <f>+'1. DADOS OPERACIONAIS'!H20</f>
        <v>4</v>
      </c>
      <c r="J26" s="181">
        <f>+'1. DADOS OPERACIONAIS'!I20</f>
        <v>4</v>
      </c>
      <c r="K26" s="181">
        <f>+'1. DADOS OPERACIONAIS'!J20</f>
        <v>4</v>
      </c>
      <c r="L26" s="181">
        <f>+'1. DADOS OPERACIONAIS'!K20</f>
        <v>4</v>
      </c>
      <c r="M26" s="181">
        <f>+'1. DADOS OPERACIONAIS'!L20</f>
        <v>4</v>
      </c>
      <c r="N26" s="181">
        <f>+'1. DADOS OPERACIONAIS'!M20</f>
        <v>4</v>
      </c>
      <c r="O26" s="181">
        <f>+'1. DADOS OPERACIONAIS'!N20</f>
        <v>4</v>
      </c>
      <c r="P26" s="181">
        <f>+'1. DADOS OPERACIONAIS'!O20</f>
        <v>4</v>
      </c>
      <c r="Q26" s="181">
        <f>+'1. DADOS OPERACIONAIS'!P20</f>
        <v>4</v>
      </c>
      <c r="R26" s="181">
        <f>+'1. DADOS OPERACIONAIS'!Q20</f>
        <v>4</v>
      </c>
      <c r="S26" s="181">
        <f>+'1. DADOS OPERACIONAIS'!R20</f>
        <v>4</v>
      </c>
      <c r="T26" s="181">
        <f>+'1. DADOS OPERACIONAIS'!S20</f>
        <v>4</v>
      </c>
      <c r="U26" s="182">
        <f>+'1. DADOS OPERACIONAIS'!T20</f>
        <v>4</v>
      </c>
    </row>
    <row r="27" spans="1:21" outlineLevel="1">
      <c r="A27" s="2">
        <v>2</v>
      </c>
      <c r="D27" s="205" t="str">
        <f>"FROTA TOTAL - "&amp;VLOOKUP(A27,TIPOLOGIA!$D$10:$E$12,2,0)</f>
        <v>FROTA TOTAL - CONVENCIONAL</v>
      </c>
      <c r="E27" s="716" t="str">
        <f>+E26</f>
        <v>(Veíc./Mês)</v>
      </c>
      <c r="F27" s="717"/>
      <c r="G27" s="177">
        <f>+'1. DADOS OPERACIONAIS'!F21</f>
        <v>10</v>
      </c>
      <c r="H27" s="178">
        <f>+'1. DADOS OPERACIONAIS'!G21</f>
        <v>10</v>
      </c>
      <c r="I27" s="178">
        <f>+'1. DADOS OPERACIONAIS'!H21</f>
        <v>10</v>
      </c>
      <c r="J27" s="178">
        <f>+'1. DADOS OPERACIONAIS'!I21</f>
        <v>10</v>
      </c>
      <c r="K27" s="178">
        <f>+'1. DADOS OPERACIONAIS'!J21</f>
        <v>10</v>
      </c>
      <c r="L27" s="178">
        <f>+'1. DADOS OPERACIONAIS'!K21</f>
        <v>10</v>
      </c>
      <c r="M27" s="178">
        <f>+'1. DADOS OPERACIONAIS'!L21</f>
        <v>10</v>
      </c>
      <c r="N27" s="178">
        <f>+'1. DADOS OPERACIONAIS'!M21</f>
        <v>10</v>
      </c>
      <c r="O27" s="178">
        <f>+'1. DADOS OPERACIONAIS'!N21</f>
        <v>10</v>
      </c>
      <c r="P27" s="178">
        <f>+'1. DADOS OPERACIONAIS'!O21</f>
        <v>10</v>
      </c>
      <c r="Q27" s="178">
        <f>+'1. DADOS OPERACIONAIS'!P21</f>
        <v>10</v>
      </c>
      <c r="R27" s="178">
        <f>+'1. DADOS OPERACIONAIS'!Q21</f>
        <v>10</v>
      </c>
      <c r="S27" s="178">
        <f>+'1. DADOS OPERACIONAIS'!R21</f>
        <v>10</v>
      </c>
      <c r="T27" s="178">
        <f>+'1. DADOS OPERACIONAIS'!S21</f>
        <v>10</v>
      </c>
      <c r="U27" s="179">
        <f>+'1. DADOS OPERACIONAIS'!T21</f>
        <v>10</v>
      </c>
    </row>
    <row r="28" spans="1:21" outlineLevel="1">
      <c r="A28" s="2">
        <v>3</v>
      </c>
      <c r="D28" s="206" t="str">
        <f>"FROTA TOTAL - "&amp;VLOOKUP(A28,TIPOLOGIA!$D$10:$E$12,2,0)</f>
        <v>FROTA TOTAL - -</v>
      </c>
      <c r="E28" s="710" t="str">
        <f>+E27</f>
        <v>(Veíc./Mês)</v>
      </c>
      <c r="F28" s="711"/>
      <c r="G28" s="208">
        <f>+'1. DADOS OPERACIONAIS'!F22</f>
        <v>0</v>
      </c>
      <c r="H28" s="209">
        <f>+'1. DADOS OPERACIONAIS'!G22</f>
        <v>0</v>
      </c>
      <c r="I28" s="209">
        <f>+'1. DADOS OPERACIONAIS'!H22</f>
        <v>0</v>
      </c>
      <c r="J28" s="209">
        <f>+'1. DADOS OPERACIONAIS'!I22</f>
        <v>0</v>
      </c>
      <c r="K28" s="209">
        <f>+'1. DADOS OPERACIONAIS'!J22</f>
        <v>0</v>
      </c>
      <c r="L28" s="209">
        <f>+'1. DADOS OPERACIONAIS'!K22</f>
        <v>0</v>
      </c>
      <c r="M28" s="209">
        <f>+'1. DADOS OPERACIONAIS'!L22</f>
        <v>0</v>
      </c>
      <c r="N28" s="209">
        <f>+'1. DADOS OPERACIONAIS'!M22</f>
        <v>0</v>
      </c>
      <c r="O28" s="209">
        <f>+'1. DADOS OPERACIONAIS'!N22</f>
        <v>0</v>
      </c>
      <c r="P28" s="209">
        <f>+'1. DADOS OPERACIONAIS'!O22</f>
        <v>0</v>
      </c>
      <c r="Q28" s="209">
        <f>+'1. DADOS OPERACIONAIS'!P22</f>
        <v>0</v>
      </c>
      <c r="R28" s="209">
        <f>+'1. DADOS OPERACIONAIS'!Q22</f>
        <v>0</v>
      </c>
      <c r="S28" s="209">
        <f>+'1. DADOS OPERACIONAIS'!R22</f>
        <v>0</v>
      </c>
      <c r="T28" s="209">
        <f>+'1. DADOS OPERACIONAIS'!S22</f>
        <v>0</v>
      </c>
      <c r="U28" s="210">
        <f>+'1. DADOS OPERACIONAIS'!T22</f>
        <v>0</v>
      </c>
    </row>
    <row r="29" spans="1:21" outlineLevel="1">
      <c r="D29" s="2" t="str">
        <f>"VALOR SEG. OBRIG. - "&amp;VLOOKUP(A26,TIPOLOGIA!$D$10:$E$12,2,0)</f>
        <v>VALOR SEG. OBRIG. - MICROÔNIBUS</v>
      </c>
      <c r="E29" s="714" t="s">
        <v>163</v>
      </c>
      <c r="F29" s="715"/>
      <c r="G29" s="186">
        <f>+'3. PREÇOS INSUMOS'!G168/12</f>
        <v>70.84</v>
      </c>
      <c r="H29" s="187">
        <f>+'3. PREÇOS INSUMOS'!H168/12</f>
        <v>70.84</v>
      </c>
      <c r="I29" s="187">
        <f>+'3. PREÇOS INSUMOS'!I168/12</f>
        <v>70.84</v>
      </c>
      <c r="J29" s="187">
        <f>+'3. PREÇOS INSUMOS'!J168/12</f>
        <v>70.84</v>
      </c>
      <c r="K29" s="187">
        <f>+'3. PREÇOS INSUMOS'!K168/12</f>
        <v>70.84</v>
      </c>
      <c r="L29" s="187">
        <f>+'3. PREÇOS INSUMOS'!L168/12</f>
        <v>70.84</v>
      </c>
      <c r="M29" s="187">
        <f>+'3. PREÇOS INSUMOS'!M168/12</f>
        <v>70.84</v>
      </c>
      <c r="N29" s="187">
        <f>+'3. PREÇOS INSUMOS'!N168/12</f>
        <v>70.84</v>
      </c>
      <c r="O29" s="187">
        <f>+'3. PREÇOS INSUMOS'!O168/12</f>
        <v>70.84</v>
      </c>
      <c r="P29" s="187">
        <f>+'3. PREÇOS INSUMOS'!P168/12</f>
        <v>70.84</v>
      </c>
      <c r="Q29" s="187">
        <f>+'3. PREÇOS INSUMOS'!Q168/12</f>
        <v>70.84</v>
      </c>
      <c r="R29" s="187">
        <f>+'3. PREÇOS INSUMOS'!R168/12</f>
        <v>70.84</v>
      </c>
      <c r="S29" s="187">
        <f>+'3. PREÇOS INSUMOS'!S168/12</f>
        <v>70.84</v>
      </c>
      <c r="T29" s="187">
        <f>+'3. PREÇOS INSUMOS'!T168/12</f>
        <v>70.84</v>
      </c>
      <c r="U29" s="188">
        <f>+'3. PREÇOS INSUMOS'!U168/12</f>
        <v>70.84</v>
      </c>
    </row>
    <row r="30" spans="1:21" outlineLevel="1">
      <c r="D30" s="2" t="str">
        <f>"VALOR SEG. OBRIG. - "&amp;VLOOKUP(A27,TIPOLOGIA!$D$10:$E$12,2,0)</f>
        <v>VALOR SEG. OBRIG. - CONVENCIONAL</v>
      </c>
      <c r="E30" s="716" t="s">
        <v>163</v>
      </c>
      <c r="F30" s="717"/>
      <c r="G30" s="186">
        <f>+'3. PREÇOS INSUMOS'!G169/12</f>
        <v>70.84</v>
      </c>
      <c r="H30" s="187">
        <f>+'3. PREÇOS INSUMOS'!H169/12</f>
        <v>70.84</v>
      </c>
      <c r="I30" s="187">
        <f>+'3. PREÇOS INSUMOS'!I169/12</f>
        <v>70.84</v>
      </c>
      <c r="J30" s="187">
        <f>+'3. PREÇOS INSUMOS'!J169/12</f>
        <v>70.84</v>
      </c>
      <c r="K30" s="187">
        <f>+'3. PREÇOS INSUMOS'!K169/12</f>
        <v>70.84</v>
      </c>
      <c r="L30" s="187">
        <f>+'3. PREÇOS INSUMOS'!L169/12</f>
        <v>70.84</v>
      </c>
      <c r="M30" s="187">
        <f>+'3. PREÇOS INSUMOS'!M169/12</f>
        <v>70.84</v>
      </c>
      <c r="N30" s="187">
        <f>+'3. PREÇOS INSUMOS'!N169/12</f>
        <v>70.84</v>
      </c>
      <c r="O30" s="187">
        <f>+'3. PREÇOS INSUMOS'!O169/12</f>
        <v>70.84</v>
      </c>
      <c r="P30" s="187">
        <f>+'3. PREÇOS INSUMOS'!P169/12</f>
        <v>70.84</v>
      </c>
      <c r="Q30" s="187">
        <f>+'3. PREÇOS INSUMOS'!Q169/12</f>
        <v>70.84</v>
      </c>
      <c r="R30" s="187">
        <f>+'3. PREÇOS INSUMOS'!R169/12</f>
        <v>70.84</v>
      </c>
      <c r="S30" s="187">
        <f>+'3. PREÇOS INSUMOS'!S169/12</f>
        <v>70.84</v>
      </c>
      <c r="T30" s="187">
        <f>+'3. PREÇOS INSUMOS'!T169/12</f>
        <v>70.84</v>
      </c>
      <c r="U30" s="188">
        <f>+'3. PREÇOS INSUMOS'!U169/12</f>
        <v>70.84</v>
      </c>
    </row>
    <row r="31" spans="1:21" outlineLevel="1">
      <c r="D31" s="2" t="str">
        <f>"VALOR SEG. OBRIG. - "&amp;VLOOKUP(A28,TIPOLOGIA!$D$10:$E$12,2,0)</f>
        <v>VALOR SEG. OBRIG. - -</v>
      </c>
      <c r="E31" s="710" t="s">
        <v>163</v>
      </c>
      <c r="F31" s="711"/>
      <c r="G31" s="186">
        <f>+'3. PREÇOS INSUMOS'!G170/12</f>
        <v>0</v>
      </c>
      <c r="H31" s="187">
        <f>+'3. PREÇOS INSUMOS'!H170/12</f>
        <v>0</v>
      </c>
      <c r="I31" s="187">
        <f>+'3. PREÇOS INSUMOS'!I170/12</f>
        <v>0</v>
      </c>
      <c r="J31" s="187">
        <f>+'3. PREÇOS INSUMOS'!J170/12</f>
        <v>0</v>
      </c>
      <c r="K31" s="187">
        <f>+'3. PREÇOS INSUMOS'!K170/12</f>
        <v>0</v>
      </c>
      <c r="L31" s="187">
        <f>+'3. PREÇOS INSUMOS'!L170/12</f>
        <v>0</v>
      </c>
      <c r="M31" s="187">
        <f>+'3. PREÇOS INSUMOS'!M170/12</f>
        <v>0</v>
      </c>
      <c r="N31" s="187">
        <f>+'3. PREÇOS INSUMOS'!N170/12</f>
        <v>0</v>
      </c>
      <c r="O31" s="187">
        <f>+'3. PREÇOS INSUMOS'!O170/12</f>
        <v>0</v>
      </c>
      <c r="P31" s="187">
        <f>+'3. PREÇOS INSUMOS'!P170/12</f>
        <v>0</v>
      </c>
      <c r="Q31" s="187">
        <f>+'3. PREÇOS INSUMOS'!Q170/12</f>
        <v>0</v>
      </c>
      <c r="R31" s="187">
        <f>+'3. PREÇOS INSUMOS'!R170/12</f>
        <v>0</v>
      </c>
      <c r="S31" s="187">
        <f>+'3. PREÇOS INSUMOS'!S170/12</f>
        <v>0</v>
      </c>
      <c r="T31" s="187">
        <f>+'3. PREÇOS INSUMOS'!T170/12</f>
        <v>0</v>
      </c>
      <c r="U31" s="188">
        <f>+'3. PREÇOS INSUMOS'!U170/12</f>
        <v>0</v>
      </c>
    </row>
    <row r="32" spans="1:21">
      <c r="C32" s="174"/>
      <c r="D32" s="174" t="s">
        <v>165</v>
      </c>
      <c r="E32" s="708" t="s">
        <v>163</v>
      </c>
      <c r="F32" s="709"/>
      <c r="G32" s="196">
        <f t="shared" ref="G32:U32" si="4">G26*G29+G27*G30+G28*G31</f>
        <v>991.7600000000001</v>
      </c>
      <c r="H32" s="197">
        <f t="shared" si="4"/>
        <v>991.7600000000001</v>
      </c>
      <c r="I32" s="197">
        <f t="shared" si="4"/>
        <v>991.7600000000001</v>
      </c>
      <c r="J32" s="197">
        <f t="shared" si="4"/>
        <v>991.7600000000001</v>
      </c>
      <c r="K32" s="197">
        <f t="shared" si="4"/>
        <v>991.7600000000001</v>
      </c>
      <c r="L32" s="197">
        <f t="shared" si="4"/>
        <v>991.7600000000001</v>
      </c>
      <c r="M32" s="197">
        <f t="shared" si="4"/>
        <v>991.7600000000001</v>
      </c>
      <c r="N32" s="197">
        <f t="shared" si="4"/>
        <v>991.7600000000001</v>
      </c>
      <c r="O32" s="197">
        <f t="shared" si="4"/>
        <v>991.7600000000001</v>
      </c>
      <c r="P32" s="197">
        <f t="shared" si="4"/>
        <v>991.7600000000001</v>
      </c>
      <c r="Q32" s="197">
        <f t="shared" si="4"/>
        <v>991.7600000000001</v>
      </c>
      <c r="R32" s="197">
        <f t="shared" si="4"/>
        <v>991.7600000000001</v>
      </c>
      <c r="S32" s="197">
        <f t="shared" si="4"/>
        <v>991.7600000000001</v>
      </c>
      <c r="T32" s="197">
        <f t="shared" si="4"/>
        <v>991.7600000000001</v>
      </c>
      <c r="U32" s="198">
        <f t="shared" si="4"/>
        <v>991.7600000000001</v>
      </c>
    </row>
    <row r="33" spans="1:21">
      <c r="C33" s="174"/>
      <c r="D33" s="174" t="s">
        <v>165</v>
      </c>
      <c r="E33" s="708" t="s">
        <v>167</v>
      </c>
      <c r="F33" s="709"/>
      <c r="G33" s="196">
        <f t="shared" ref="G33:U33" si="5">+G32*12</f>
        <v>11901.12</v>
      </c>
      <c r="H33" s="197">
        <f t="shared" si="5"/>
        <v>11901.12</v>
      </c>
      <c r="I33" s="197">
        <f t="shared" si="5"/>
        <v>11901.12</v>
      </c>
      <c r="J33" s="197">
        <f t="shared" si="5"/>
        <v>11901.12</v>
      </c>
      <c r="K33" s="197">
        <f t="shared" si="5"/>
        <v>11901.12</v>
      </c>
      <c r="L33" s="197">
        <f t="shared" si="5"/>
        <v>11901.12</v>
      </c>
      <c r="M33" s="197">
        <f t="shared" si="5"/>
        <v>11901.12</v>
      </c>
      <c r="N33" s="197">
        <f t="shared" si="5"/>
        <v>11901.12</v>
      </c>
      <c r="O33" s="197">
        <f t="shared" si="5"/>
        <v>11901.12</v>
      </c>
      <c r="P33" s="197">
        <f t="shared" si="5"/>
        <v>11901.12</v>
      </c>
      <c r="Q33" s="197">
        <f t="shared" si="5"/>
        <v>11901.12</v>
      </c>
      <c r="R33" s="197">
        <f t="shared" si="5"/>
        <v>11901.12</v>
      </c>
      <c r="S33" s="197">
        <f t="shared" si="5"/>
        <v>11901.12</v>
      </c>
      <c r="T33" s="197">
        <f t="shared" si="5"/>
        <v>11901.12</v>
      </c>
      <c r="U33" s="198">
        <f t="shared" si="5"/>
        <v>11901.12</v>
      </c>
    </row>
    <row r="36" spans="1:21" ht="15.75">
      <c r="C36" s="381" t="str">
        <f>+MENU!$C$86</f>
        <v>6.2. - CÁLCULO DAS DESPESAS GERAIS</v>
      </c>
    </row>
    <row r="37" spans="1:21">
      <c r="C37" s="4"/>
    </row>
    <row r="38" spans="1:21" ht="18" customHeight="1">
      <c r="C38" s="694" t="s">
        <v>184</v>
      </c>
      <c r="D38" s="694"/>
      <c r="E38" s="712" t="s">
        <v>6</v>
      </c>
      <c r="F38" s="713"/>
      <c r="G38" s="578">
        <v>1</v>
      </c>
      <c r="H38" s="572">
        <f t="shared" ref="H38:U38" si="6">+G38+1</f>
        <v>2</v>
      </c>
      <c r="I38" s="572">
        <f t="shared" si="6"/>
        <v>3</v>
      </c>
      <c r="J38" s="572">
        <f t="shared" si="6"/>
        <v>4</v>
      </c>
      <c r="K38" s="572">
        <f t="shared" si="6"/>
        <v>5</v>
      </c>
      <c r="L38" s="572">
        <f t="shared" si="6"/>
        <v>6</v>
      </c>
      <c r="M38" s="572">
        <f t="shared" si="6"/>
        <v>7</v>
      </c>
      <c r="N38" s="572">
        <f t="shared" si="6"/>
        <v>8</v>
      </c>
      <c r="O38" s="572">
        <f t="shared" si="6"/>
        <v>9</v>
      </c>
      <c r="P38" s="572">
        <f t="shared" si="6"/>
        <v>10</v>
      </c>
      <c r="Q38" s="572">
        <f t="shared" si="6"/>
        <v>11</v>
      </c>
      <c r="R38" s="572">
        <f t="shared" si="6"/>
        <v>12</v>
      </c>
      <c r="S38" s="572">
        <f t="shared" si="6"/>
        <v>13</v>
      </c>
      <c r="T38" s="572">
        <f t="shared" si="6"/>
        <v>14</v>
      </c>
      <c r="U38" s="573">
        <f t="shared" si="6"/>
        <v>15</v>
      </c>
    </row>
    <row r="39" spans="1:21" outlineLevel="1">
      <c r="A39" s="2">
        <v>2</v>
      </c>
      <c r="D39" s="323" t="s">
        <v>9</v>
      </c>
      <c r="E39" s="708" t="s">
        <v>19</v>
      </c>
      <c r="F39" s="709"/>
      <c r="G39" s="324">
        <f>+'1. DADOS OPERACIONAIS'!F23</f>
        <v>14</v>
      </c>
      <c r="H39" s="325">
        <f>+'1. DADOS OPERACIONAIS'!G23</f>
        <v>14</v>
      </c>
      <c r="I39" s="325">
        <f>+'1. DADOS OPERACIONAIS'!H23</f>
        <v>14</v>
      </c>
      <c r="J39" s="325">
        <f>+'1. DADOS OPERACIONAIS'!I23</f>
        <v>14</v>
      </c>
      <c r="K39" s="325">
        <f>+'1. DADOS OPERACIONAIS'!J23</f>
        <v>14</v>
      </c>
      <c r="L39" s="325">
        <f>+'1. DADOS OPERACIONAIS'!K23</f>
        <v>14</v>
      </c>
      <c r="M39" s="325">
        <f>+'1. DADOS OPERACIONAIS'!L23</f>
        <v>14</v>
      </c>
      <c r="N39" s="325">
        <f>+'1. DADOS OPERACIONAIS'!M23</f>
        <v>14</v>
      </c>
      <c r="O39" s="325">
        <f>+'1. DADOS OPERACIONAIS'!N23</f>
        <v>14</v>
      </c>
      <c r="P39" s="325">
        <f>+'1. DADOS OPERACIONAIS'!O23</f>
        <v>14</v>
      </c>
      <c r="Q39" s="325">
        <f>+'1. DADOS OPERACIONAIS'!P23</f>
        <v>14</v>
      </c>
      <c r="R39" s="325">
        <f>+'1. DADOS OPERACIONAIS'!Q23</f>
        <v>14</v>
      </c>
      <c r="S39" s="325">
        <f>+'1. DADOS OPERACIONAIS'!R23</f>
        <v>14</v>
      </c>
      <c r="T39" s="325">
        <f>+'1. DADOS OPERACIONAIS'!S23</f>
        <v>14</v>
      </c>
      <c r="U39" s="326">
        <f>+'1. DADOS OPERACIONAIS'!T23</f>
        <v>14</v>
      </c>
    </row>
    <row r="40" spans="1:21" ht="27" customHeight="1" outlineLevel="1">
      <c r="A40" s="2">
        <v>2</v>
      </c>
      <c r="D40" s="330" t="str">
        <f>"Preço de Veículo Leve Novo Completo - "&amp;VLOOKUP(A39,TIPOLOGIA!$D$10:$E$12,2,0)</f>
        <v>Preço de Veículo Leve Novo Completo - CONVENCIONAL</v>
      </c>
      <c r="E40" s="708" t="s">
        <v>163</v>
      </c>
      <c r="F40" s="709"/>
      <c r="G40" s="327">
        <f>+'3. PREÇOS INSUMOS'!G45</f>
        <v>388000</v>
      </c>
      <c r="H40" s="328">
        <f>+'3. PREÇOS INSUMOS'!H45</f>
        <v>388000</v>
      </c>
      <c r="I40" s="328">
        <f>+'3. PREÇOS INSUMOS'!I45</f>
        <v>388000</v>
      </c>
      <c r="J40" s="328">
        <f>+'3. PREÇOS INSUMOS'!J45</f>
        <v>388000</v>
      </c>
      <c r="K40" s="328">
        <f>+'3. PREÇOS INSUMOS'!K45</f>
        <v>388000</v>
      </c>
      <c r="L40" s="328">
        <f>+'3. PREÇOS INSUMOS'!L45</f>
        <v>388000</v>
      </c>
      <c r="M40" s="328">
        <f>+'3. PREÇOS INSUMOS'!M45</f>
        <v>388000</v>
      </c>
      <c r="N40" s="328">
        <f>+'3. PREÇOS INSUMOS'!N45</f>
        <v>388000</v>
      </c>
      <c r="O40" s="328">
        <f>+'3. PREÇOS INSUMOS'!O45</f>
        <v>388000</v>
      </c>
      <c r="P40" s="328">
        <f>+'3. PREÇOS INSUMOS'!P45</f>
        <v>388000</v>
      </c>
      <c r="Q40" s="328">
        <f>+'3. PREÇOS INSUMOS'!Q45</f>
        <v>388000</v>
      </c>
      <c r="R40" s="328">
        <f>+'3. PREÇOS INSUMOS'!R45</f>
        <v>388000</v>
      </c>
      <c r="S40" s="328">
        <f>+'3. PREÇOS INSUMOS'!S45</f>
        <v>388000</v>
      </c>
      <c r="T40" s="328">
        <f>+'3. PREÇOS INSUMOS'!T45</f>
        <v>388000</v>
      </c>
      <c r="U40" s="329">
        <f>+'3. PREÇOS INSUMOS'!U45</f>
        <v>388000</v>
      </c>
    </row>
    <row r="41" spans="1:21">
      <c r="D41" s="1" t="s">
        <v>308</v>
      </c>
      <c r="E41" s="710" t="s">
        <v>54</v>
      </c>
      <c r="F41" s="711"/>
      <c r="G41" s="262">
        <f>+'2. COEFICIENTES'!F127</f>
        <v>1.8333333333333335E-3</v>
      </c>
      <c r="H41" s="293">
        <f>+'2. COEFICIENTES'!G127</f>
        <v>1.8333333333333335E-3</v>
      </c>
      <c r="I41" s="293">
        <f>+'2. COEFICIENTES'!H127</f>
        <v>1.8333333333333335E-3</v>
      </c>
      <c r="J41" s="293">
        <f>+'2. COEFICIENTES'!I127</f>
        <v>1.8333333333333335E-3</v>
      </c>
      <c r="K41" s="293">
        <f>+'2. COEFICIENTES'!J127</f>
        <v>1.8333333333333335E-3</v>
      </c>
      <c r="L41" s="293">
        <f>+'2. COEFICIENTES'!K127</f>
        <v>1.8333333333333335E-3</v>
      </c>
      <c r="M41" s="293">
        <f>+'2. COEFICIENTES'!L127</f>
        <v>1.8333333333333335E-3</v>
      </c>
      <c r="N41" s="293">
        <f>+'2. COEFICIENTES'!M127</f>
        <v>1.8333333333333335E-3</v>
      </c>
      <c r="O41" s="293">
        <f>+'2. COEFICIENTES'!N127</f>
        <v>1.8333333333333335E-3</v>
      </c>
      <c r="P41" s="293">
        <f>+'2. COEFICIENTES'!O127</f>
        <v>1.8333333333333335E-3</v>
      </c>
      <c r="Q41" s="293">
        <f>+'2. COEFICIENTES'!P127</f>
        <v>1.8333333333333335E-3</v>
      </c>
      <c r="R41" s="293">
        <f>+'2. COEFICIENTES'!Q127</f>
        <v>1.8333333333333335E-3</v>
      </c>
      <c r="S41" s="293">
        <f>+'2. COEFICIENTES'!R127</f>
        <v>1.8333333333333335E-3</v>
      </c>
      <c r="T41" s="293">
        <f>+'2. COEFICIENTES'!S127</f>
        <v>1.8333333333333335E-3</v>
      </c>
      <c r="U41" s="310">
        <f>+'2. COEFICIENTES'!T127</f>
        <v>1.8333333333333335E-3</v>
      </c>
    </row>
    <row r="42" spans="1:21">
      <c r="C42" s="174"/>
      <c r="D42" s="174" t="s">
        <v>198</v>
      </c>
      <c r="E42" s="708" t="s">
        <v>163</v>
      </c>
      <c r="F42" s="709"/>
      <c r="G42" s="257">
        <f>(G39*G40)*G41</f>
        <v>9958.6666666666679</v>
      </c>
      <c r="H42" s="197">
        <f t="shared" ref="H42:U42" si="7">(H39*H40)*H41</f>
        <v>9958.6666666666679</v>
      </c>
      <c r="I42" s="197">
        <f t="shared" si="7"/>
        <v>9958.6666666666679</v>
      </c>
      <c r="J42" s="197">
        <f t="shared" si="7"/>
        <v>9958.6666666666679</v>
      </c>
      <c r="K42" s="197">
        <f t="shared" si="7"/>
        <v>9958.6666666666679</v>
      </c>
      <c r="L42" s="197">
        <f t="shared" si="7"/>
        <v>9958.6666666666679</v>
      </c>
      <c r="M42" s="197">
        <f t="shared" si="7"/>
        <v>9958.6666666666679</v>
      </c>
      <c r="N42" s="197">
        <f t="shared" si="7"/>
        <v>9958.6666666666679</v>
      </c>
      <c r="O42" s="197">
        <f t="shared" si="7"/>
        <v>9958.6666666666679</v>
      </c>
      <c r="P42" s="197">
        <f t="shared" si="7"/>
        <v>9958.6666666666679</v>
      </c>
      <c r="Q42" s="197">
        <f t="shared" si="7"/>
        <v>9958.6666666666679</v>
      </c>
      <c r="R42" s="197">
        <f t="shared" si="7"/>
        <v>9958.6666666666679</v>
      </c>
      <c r="S42" s="197">
        <f t="shared" si="7"/>
        <v>9958.6666666666679</v>
      </c>
      <c r="T42" s="197">
        <f t="shared" si="7"/>
        <v>9958.6666666666679</v>
      </c>
      <c r="U42" s="198">
        <f t="shared" si="7"/>
        <v>9958.6666666666679</v>
      </c>
    </row>
    <row r="43" spans="1:21">
      <c r="C43" s="174"/>
      <c r="D43" s="174" t="s">
        <v>198</v>
      </c>
      <c r="E43" s="708" t="s">
        <v>167</v>
      </c>
      <c r="F43" s="709"/>
      <c r="G43" s="257">
        <f t="shared" ref="G43:U43" si="8">+G42*12</f>
        <v>119504.00000000001</v>
      </c>
      <c r="H43" s="197">
        <f t="shared" si="8"/>
        <v>119504.00000000001</v>
      </c>
      <c r="I43" s="197">
        <f t="shared" si="8"/>
        <v>119504.00000000001</v>
      </c>
      <c r="J43" s="197">
        <f t="shared" si="8"/>
        <v>119504.00000000001</v>
      </c>
      <c r="K43" s="197">
        <f t="shared" si="8"/>
        <v>119504.00000000001</v>
      </c>
      <c r="L43" s="197">
        <f t="shared" si="8"/>
        <v>119504.00000000001</v>
      </c>
      <c r="M43" s="197">
        <f t="shared" si="8"/>
        <v>119504.00000000001</v>
      </c>
      <c r="N43" s="197">
        <f t="shared" si="8"/>
        <v>119504.00000000001</v>
      </c>
      <c r="O43" s="197">
        <f t="shared" si="8"/>
        <v>119504.00000000001</v>
      </c>
      <c r="P43" s="197">
        <f t="shared" si="8"/>
        <v>119504.00000000001</v>
      </c>
      <c r="Q43" s="197">
        <f t="shared" si="8"/>
        <v>119504.00000000001</v>
      </c>
      <c r="R43" s="197">
        <f t="shared" si="8"/>
        <v>119504.00000000001</v>
      </c>
      <c r="S43" s="197">
        <f t="shared" si="8"/>
        <v>119504.00000000001</v>
      </c>
      <c r="T43" s="197">
        <f t="shared" si="8"/>
        <v>119504.00000000001</v>
      </c>
      <c r="U43" s="198">
        <f t="shared" si="8"/>
        <v>119504.00000000001</v>
      </c>
    </row>
    <row r="46" spans="1:21" ht="15.75">
      <c r="C46" s="381" t="str">
        <f>+MENU!$C$87</f>
        <v>6.3. - CÁLCULO DOS CUSTEIOS COM PRÓ-LABORE</v>
      </c>
    </row>
    <row r="47" spans="1:21">
      <c r="C47" s="4"/>
    </row>
    <row r="48" spans="1:21" ht="18" customHeight="1">
      <c r="C48" s="694" t="s">
        <v>305</v>
      </c>
      <c r="D48" s="694"/>
      <c r="E48" s="712" t="s">
        <v>6</v>
      </c>
      <c r="F48" s="713"/>
      <c r="G48" s="578">
        <v>1</v>
      </c>
      <c r="H48" s="572">
        <f t="shared" ref="H48:U48" si="9">+G48+1</f>
        <v>2</v>
      </c>
      <c r="I48" s="572">
        <f t="shared" si="9"/>
        <v>3</v>
      </c>
      <c r="J48" s="572">
        <f t="shared" si="9"/>
        <v>4</v>
      </c>
      <c r="K48" s="572">
        <f t="shared" si="9"/>
        <v>5</v>
      </c>
      <c r="L48" s="572">
        <f t="shared" si="9"/>
        <v>6</v>
      </c>
      <c r="M48" s="572">
        <f t="shared" si="9"/>
        <v>7</v>
      </c>
      <c r="N48" s="572">
        <f t="shared" si="9"/>
        <v>8</v>
      </c>
      <c r="O48" s="572">
        <f t="shared" si="9"/>
        <v>9</v>
      </c>
      <c r="P48" s="572">
        <f t="shared" si="9"/>
        <v>10</v>
      </c>
      <c r="Q48" s="572">
        <f t="shared" si="9"/>
        <v>11</v>
      </c>
      <c r="R48" s="572">
        <f t="shared" si="9"/>
        <v>12</v>
      </c>
      <c r="S48" s="572">
        <f t="shared" si="9"/>
        <v>13</v>
      </c>
      <c r="T48" s="572">
        <f t="shared" si="9"/>
        <v>14</v>
      </c>
      <c r="U48" s="573">
        <f t="shared" si="9"/>
        <v>15</v>
      </c>
    </row>
    <row r="49" spans="1:21">
      <c r="D49" s="174" t="s">
        <v>200</v>
      </c>
      <c r="E49" s="708" t="s">
        <v>163</v>
      </c>
      <c r="F49" s="709"/>
      <c r="G49" s="327">
        <f>+'5. CUSTOS FIXOS (PESSOAL)'!F41</f>
        <v>84318.698217816011</v>
      </c>
      <c r="H49" s="327">
        <f>+'5. CUSTOS FIXOS (PESSOAL)'!G41</f>
        <v>97734.016806408021</v>
      </c>
      <c r="I49" s="327">
        <f>+'5. CUSTOS FIXOS (PESSOAL)'!H41</f>
        <v>97734.016806408021</v>
      </c>
      <c r="J49" s="327">
        <f>+'5. CUSTOS FIXOS (PESSOAL)'!I41</f>
        <v>97734.016806408021</v>
      </c>
      <c r="K49" s="327">
        <f>+'5. CUSTOS FIXOS (PESSOAL)'!J41</f>
        <v>97734.016806408021</v>
      </c>
      <c r="L49" s="327">
        <f>+'5. CUSTOS FIXOS (PESSOAL)'!K41</f>
        <v>97734.016806408021</v>
      </c>
      <c r="M49" s="327">
        <f>+'5. CUSTOS FIXOS (PESSOAL)'!L41</f>
        <v>97734.016806408021</v>
      </c>
      <c r="N49" s="327">
        <f>+'5. CUSTOS FIXOS (PESSOAL)'!M41</f>
        <v>97734.016806408021</v>
      </c>
      <c r="O49" s="327">
        <f>+'5. CUSTOS FIXOS (PESSOAL)'!N41</f>
        <v>97734.016806408021</v>
      </c>
      <c r="P49" s="327">
        <f>+'5. CUSTOS FIXOS (PESSOAL)'!O41</f>
        <v>97734.016806408021</v>
      </c>
      <c r="Q49" s="327">
        <f>+'5. CUSTOS FIXOS (PESSOAL)'!P41</f>
        <v>97734.016806408021</v>
      </c>
      <c r="R49" s="327">
        <f>+'5. CUSTOS FIXOS (PESSOAL)'!Q41</f>
        <v>97734.016806408021</v>
      </c>
      <c r="S49" s="327">
        <f>+'5. CUSTOS FIXOS (PESSOAL)'!R41</f>
        <v>97734.016806408021</v>
      </c>
      <c r="T49" s="327">
        <f>+'5. CUSTOS FIXOS (PESSOAL)'!S41</f>
        <v>97734.016806408021</v>
      </c>
      <c r="U49" s="329">
        <f>+'5. CUSTOS FIXOS (PESSOAL)'!T41</f>
        <v>97734.016806408021</v>
      </c>
    </row>
    <row r="50" spans="1:21">
      <c r="D50" s="206" t="s">
        <v>199</v>
      </c>
      <c r="E50" s="710" t="s">
        <v>54</v>
      </c>
      <c r="F50" s="711"/>
      <c r="G50" s="248">
        <f>+'2. COEFICIENTES'!F132</f>
        <v>0.1</v>
      </c>
      <c r="H50" s="249">
        <f>+'2. COEFICIENTES'!G132</f>
        <v>0.1</v>
      </c>
      <c r="I50" s="249">
        <f>+'2. COEFICIENTES'!H132</f>
        <v>0.1</v>
      </c>
      <c r="J50" s="249">
        <f>+'2. COEFICIENTES'!I132</f>
        <v>0.1</v>
      </c>
      <c r="K50" s="249">
        <f>+'2. COEFICIENTES'!J132</f>
        <v>0.1</v>
      </c>
      <c r="L50" s="249">
        <f>+'2. COEFICIENTES'!K132</f>
        <v>0.1</v>
      </c>
      <c r="M50" s="249">
        <f>+'2. COEFICIENTES'!L132</f>
        <v>0.1</v>
      </c>
      <c r="N50" s="249">
        <f>+'2. COEFICIENTES'!M132</f>
        <v>0.1</v>
      </c>
      <c r="O50" s="249">
        <f>+'2. COEFICIENTES'!N132</f>
        <v>0.1</v>
      </c>
      <c r="P50" s="249">
        <f>+'2. COEFICIENTES'!O132</f>
        <v>0.1</v>
      </c>
      <c r="Q50" s="249">
        <f>+'2. COEFICIENTES'!P132</f>
        <v>0.1</v>
      </c>
      <c r="R50" s="249">
        <f>+'2. COEFICIENTES'!Q132</f>
        <v>0.1</v>
      </c>
      <c r="S50" s="249">
        <f>+'2. COEFICIENTES'!R132</f>
        <v>0.1</v>
      </c>
      <c r="T50" s="249">
        <f>+'2. COEFICIENTES'!S132</f>
        <v>0.1</v>
      </c>
      <c r="U50" s="250">
        <f>+'2. COEFICIENTES'!T132</f>
        <v>0.1</v>
      </c>
    </row>
    <row r="51" spans="1:21">
      <c r="C51" s="174"/>
      <c r="D51" s="174" t="s">
        <v>201</v>
      </c>
      <c r="E51" s="708" t="s">
        <v>163</v>
      </c>
      <c r="F51" s="709"/>
      <c r="G51" s="257">
        <f>+G50*G49</f>
        <v>8431.8698217816018</v>
      </c>
      <c r="H51" s="257">
        <f t="shared" ref="H51:U51" si="10">+H50*H49</f>
        <v>9773.4016806408017</v>
      </c>
      <c r="I51" s="257">
        <f t="shared" si="10"/>
        <v>9773.4016806408017</v>
      </c>
      <c r="J51" s="257">
        <f t="shared" si="10"/>
        <v>9773.4016806408017</v>
      </c>
      <c r="K51" s="257">
        <f t="shared" si="10"/>
        <v>9773.4016806408017</v>
      </c>
      <c r="L51" s="257">
        <f t="shared" si="10"/>
        <v>9773.4016806408017</v>
      </c>
      <c r="M51" s="257">
        <f t="shared" si="10"/>
        <v>9773.4016806408017</v>
      </c>
      <c r="N51" s="257">
        <f t="shared" si="10"/>
        <v>9773.4016806408017</v>
      </c>
      <c r="O51" s="257">
        <f t="shared" si="10"/>
        <v>9773.4016806408017</v>
      </c>
      <c r="P51" s="257">
        <f t="shared" si="10"/>
        <v>9773.4016806408017</v>
      </c>
      <c r="Q51" s="257">
        <f t="shared" si="10"/>
        <v>9773.4016806408017</v>
      </c>
      <c r="R51" s="257">
        <f t="shared" si="10"/>
        <v>9773.4016806408017</v>
      </c>
      <c r="S51" s="257">
        <f t="shared" si="10"/>
        <v>9773.4016806408017</v>
      </c>
      <c r="T51" s="257">
        <f t="shared" si="10"/>
        <v>9773.4016806408017</v>
      </c>
      <c r="U51" s="397">
        <f t="shared" si="10"/>
        <v>9773.4016806408017</v>
      </c>
    </row>
    <row r="52" spans="1:21">
      <c r="C52" s="174"/>
      <c r="D52" s="174" t="s">
        <v>201</v>
      </c>
      <c r="E52" s="708" t="s">
        <v>167</v>
      </c>
      <c r="F52" s="709"/>
      <c r="G52" s="257">
        <f t="shared" ref="G52:U52" si="11">+G51*12</f>
        <v>101182.43786137922</v>
      </c>
      <c r="H52" s="197">
        <f t="shared" si="11"/>
        <v>117280.82016768961</v>
      </c>
      <c r="I52" s="197">
        <f t="shared" si="11"/>
        <v>117280.82016768961</v>
      </c>
      <c r="J52" s="197">
        <f t="shared" si="11"/>
        <v>117280.82016768961</v>
      </c>
      <c r="K52" s="197">
        <f t="shared" si="11"/>
        <v>117280.82016768961</v>
      </c>
      <c r="L52" s="197">
        <f t="shared" si="11"/>
        <v>117280.82016768961</v>
      </c>
      <c r="M52" s="197">
        <f t="shared" si="11"/>
        <v>117280.82016768961</v>
      </c>
      <c r="N52" s="197">
        <f t="shared" si="11"/>
        <v>117280.82016768961</v>
      </c>
      <c r="O52" s="197">
        <f t="shared" si="11"/>
        <v>117280.82016768961</v>
      </c>
      <c r="P52" s="197">
        <f t="shared" si="11"/>
        <v>117280.82016768961</v>
      </c>
      <c r="Q52" s="197">
        <f t="shared" si="11"/>
        <v>117280.82016768961</v>
      </c>
      <c r="R52" s="197">
        <f t="shared" si="11"/>
        <v>117280.82016768961</v>
      </c>
      <c r="S52" s="197">
        <f t="shared" si="11"/>
        <v>117280.82016768961</v>
      </c>
      <c r="T52" s="197">
        <f t="shared" si="11"/>
        <v>117280.82016768961</v>
      </c>
      <c r="U52" s="198">
        <f t="shared" si="11"/>
        <v>117280.82016768961</v>
      </c>
    </row>
    <row r="55" spans="1:21" ht="15.75">
      <c r="C55" s="381" t="str">
        <f>+MENU!$C$88</f>
        <v>6.4. - CÁLCULO DA REMUNERAÇÃO DO ALMOXARIFADO</v>
      </c>
    </row>
    <row r="56" spans="1:21">
      <c r="C56" s="4"/>
    </row>
    <row r="57" spans="1:21" ht="18" customHeight="1">
      <c r="C57" s="694" t="s">
        <v>306</v>
      </c>
      <c r="D57" s="694"/>
      <c r="E57" s="712" t="s">
        <v>6</v>
      </c>
      <c r="F57" s="713"/>
      <c r="G57" s="578">
        <v>1</v>
      </c>
      <c r="H57" s="572">
        <f t="shared" ref="H57:U57" si="12">+G57+1</f>
        <v>2</v>
      </c>
      <c r="I57" s="572">
        <f t="shared" si="12"/>
        <v>3</v>
      </c>
      <c r="J57" s="572">
        <f t="shared" si="12"/>
        <v>4</v>
      </c>
      <c r="K57" s="572">
        <f t="shared" si="12"/>
        <v>5</v>
      </c>
      <c r="L57" s="572">
        <f t="shared" si="12"/>
        <v>6</v>
      </c>
      <c r="M57" s="572">
        <f t="shared" si="12"/>
        <v>7</v>
      </c>
      <c r="N57" s="572">
        <f t="shared" si="12"/>
        <v>8</v>
      </c>
      <c r="O57" s="572">
        <f t="shared" si="12"/>
        <v>9</v>
      </c>
      <c r="P57" s="572">
        <f t="shared" si="12"/>
        <v>10</v>
      </c>
      <c r="Q57" s="572">
        <f t="shared" si="12"/>
        <v>11</v>
      </c>
      <c r="R57" s="572">
        <f t="shared" si="12"/>
        <v>12</v>
      </c>
      <c r="S57" s="572">
        <f t="shared" si="12"/>
        <v>13</v>
      </c>
      <c r="T57" s="572">
        <f t="shared" si="12"/>
        <v>14</v>
      </c>
      <c r="U57" s="573">
        <f t="shared" si="12"/>
        <v>15</v>
      </c>
    </row>
    <row r="58" spans="1:21" outlineLevel="1">
      <c r="A58" s="2">
        <v>1</v>
      </c>
      <c r="D58" s="203" t="str">
        <f>"FROTA TOTAL - "&amp;VLOOKUP(A58,TIPOLOGIA!$D$10:$E$12,2,0)</f>
        <v>FROTA TOTAL - MICROÔNIBUS</v>
      </c>
      <c r="E58" s="714" t="s">
        <v>157</v>
      </c>
      <c r="F58" s="715"/>
      <c r="G58" s="415">
        <f>+'1. DADOS OPERACIONAIS'!F20</f>
        <v>4</v>
      </c>
      <c r="H58" s="184">
        <f>+'1. DADOS OPERACIONAIS'!G20</f>
        <v>4</v>
      </c>
      <c r="I58" s="184">
        <f>+'1. DADOS OPERACIONAIS'!H20</f>
        <v>4</v>
      </c>
      <c r="J58" s="184">
        <f>+'1. DADOS OPERACIONAIS'!I20</f>
        <v>4</v>
      </c>
      <c r="K58" s="184">
        <f>+'1. DADOS OPERACIONAIS'!J20</f>
        <v>4</v>
      </c>
      <c r="L58" s="184">
        <f>+'1. DADOS OPERACIONAIS'!K20</f>
        <v>4</v>
      </c>
      <c r="M58" s="184">
        <f>+'1. DADOS OPERACIONAIS'!L20</f>
        <v>4</v>
      </c>
      <c r="N58" s="184">
        <f>+'1. DADOS OPERACIONAIS'!M20</f>
        <v>4</v>
      </c>
      <c r="O58" s="184">
        <f>+'1. DADOS OPERACIONAIS'!N20</f>
        <v>4</v>
      </c>
      <c r="P58" s="184">
        <f>+'1. DADOS OPERACIONAIS'!O20</f>
        <v>4</v>
      </c>
      <c r="Q58" s="184">
        <f>+'1. DADOS OPERACIONAIS'!P20</f>
        <v>4</v>
      </c>
      <c r="R58" s="184">
        <f>+'1. DADOS OPERACIONAIS'!Q20</f>
        <v>4</v>
      </c>
      <c r="S58" s="184">
        <f>+'1. DADOS OPERACIONAIS'!R20</f>
        <v>4</v>
      </c>
      <c r="T58" s="184">
        <f>+'1. DADOS OPERACIONAIS'!S20</f>
        <v>4</v>
      </c>
      <c r="U58" s="185">
        <f>+'1. DADOS OPERACIONAIS'!T20</f>
        <v>4</v>
      </c>
    </row>
    <row r="59" spans="1:21" outlineLevel="1">
      <c r="A59" s="2">
        <v>2</v>
      </c>
      <c r="D59" s="205" t="str">
        <f>"FROTA TOTAL - "&amp;VLOOKUP(A59,TIPOLOGIA!$D$10:$E$12,2,0)</f>
        <v>FROTA TOTAL - CONVENCIONAL</v>
      </c>
      <c r="E59" s="716" t="s">
        <v>157</v>
      </c>
      <c r="F59" s="717"/>
      <c r="G59" s="416">
        <f>+'1. DADOS OPERACIONAIS'!F21</f>
        <v>10</v>
      </c>
      <c r="H59" s="263">
        <f>+'1. DADOS OPERACIONAIS'!G21</f>
        <v>10</v>
      </c>
      <c r="I59" s="263">
        <f>+'1. DADOS OPERACIONAIS'!H21</f>
        <v>10</v>
      </c>
      <c r="J59" s="263">
        <f>+'1. DADOS OPERACIONAIS'!I21</f>
        <v>10</v>
      </c>
      <c r="K59" s="263">
        <f>+'1. DADOS OPERACIONAIS'!J21</f>
        <v>10</v>
      </c>
      <c r="L59" s="263">
        <f>+'1. DADOS OPERACIONAIS'!K21</f>
        <v>10</v>
      </c>
      <c r="M59" s="263">
        <f>+'1. DADOS OPERACIONAIS'!L21</f>
        <v>10</v>
      </c>
      <c r="N59" s="263">
        <f>+'1. DADOS OPERACIONAIS'!M21</f>
        <v>10</v>
      </c>
      <c r="O59" s="263">
        <f>+'1. DADOS OPERACIONAIS'!N21</f>
        <v>10</v>
      </c>
      <c r="P59" s="263">
        <f>+'1. DADOS OPERACIONAIS'!O21</f>
        <v>10</v>
      </c>
      <c r="Q59" s="263">
        <f>+'1. DADOS OPERACIONAIS'!P21</f>
        <v>10</v>
      </c>
      <c r="R59" s="263">
        <f>+'1. DADOS OPERACIONAIS'!Q21</f>
        <v>10</v>
      </c>
      <c r="S59" s="263">
        <f>+'1. DADOS OPERACIONAIS'!R21</f>
        <v>10</v>
      </c>
      <c r="T59" s="263">
        <f>+'1. DADOS OPERACIONAIS'!S21</f>
        <v>10</v>
      </c>
      <c r="U59" s="264">
        <f>+'1. DADOS OPERACIONAIS'!T21</f>
        <v>10</v>
      </c>
    </row>
    <row r="60" spans="1:21" outlineLevel="1">
      <c r="A60" s="2">
        <v>3</v>
      </c>
      <c r="D60" s="206" t="str">
        <f>"FROTA TOTAL - "&amp;VLOOKUP(A60,TIPOLOGIA!$D$10:$E$12,2,0)</f>
        <v>FROTA TOTAL - -</v>
      </c>
      <c r="E60" s="710" t="s">
        <v>157</v>
      </c>
      <c r="F60" s="711"/>
      <c r="G60" s="417">
        <f>+'1. DADOS OPERACIONAIS'!F22</f>
        <v>0</v>
      </c>
      <c r="H60" s="265">
        <f>+'1. DADOS OPERACIONAIS'!G22</f>
        <v>0</v>
      </c>
      <c r="I60" s="265">
        <f>+'1. DADOS OPERACIONAIS'!H22</f>
        <v>0</v>
      </c>
      <c r="J60" s="265">
        <f>+'1. DADOS OPERACIONAIS'!I22</f>
        <v>0</v>
      </c>
      <c r="K60" s="265">
        <f>+'1. DADOS OPERACIONAIS'!J22</f>
        <v>0</v>
      </c>
      <c r="L60" s="265">
        <f>+'1. DADOS OPERACIONAIS'!K22</f>
        <v>0</v>
      </c>
      <c r="M60" s="265">
        <f>+'1. DADOS OPERACIONAIS'!L22</f>
        <v>0</v>
      </c>
      <c r="N60" s="265">
        <f>+'1. DADOS OPERACIONAIS'!M22</f>
        <v>0</v>
      </c>
      <c r="O60" s="265">
        <f>+'1. DADOS OPERACIONAIS'!N22</f>
        <v>0</v>
      </c>
      <c r="P60" s="265">
        <f>+'1. DADOS OPERACIONAIS'!O22</f>
        <v>0</v>
      </c>
      <c r="Q60" s="265">
        <f>+'1. DADOS OPERACIONAIS'!P22</f>
        <v>0</v>
      </c>
      <c r="R60" s="265">
        <f>+'1. DADOS OPERACIONAIS'!Q22</f>
        <v>0</v>
      </c>
      <c r="S60" s="265">
        <f>+'1. DADOS OPERACIONAIS'!R22</f>
        <v>0</v>
      </c>
      <c r="T60" s="265">
        <f>+'1. DADOS OPERACIONAIS'!S22</f>
        <v>0</v>
      </c>
      <c r="U60" s="266">
        <f>+'1. DADOS OPERACIONAIS'!T22</f>
        <v>0</v>
      </c>
    </row>
    <row r="61" spans="1:21" outlineLevel="1">
      <c r="A61" s="2">
        <v>1</v>
      </c>
      <c r="D61" s="203" t="str">
        <f>"Preço de Veíc. Novo Compl. - "&amp;VLOOKUP(A61,TIPOLOGIA!$D$10:$E$12,2,0)</f>
        <v>Preço de Veíc. Novo Compl. - MICROÔNIBUS</v>
      </c>
      <c r="E61" s="716" t="s">
        <v>163</v>
      </c>
      <c r="F61" s="717"/>
      <c r="G61" s="251">
        <f>+'3. PREÇOS INSUMOS'!G44</f>
        <v>309000</v>
      </c>
      <c r="H61" s="200">
        <f>+'3. PREÇOS INSUMOS'!H44</f>
        <v>309000</v>
      </c>
      <c r="I61" s="200">
        <f>+'3. PREÇOS INSUMOS'!I44</f>
        <v>309000</v>
      </c>
      <c r="J61" s="200">
        <f>+'3. PREÇOS INSUMOS'!J44</f>
        <v>309000</v>
      </c>
      <c r="K61" s="200">
        <f>+'3. PREÇOS INSUMOS'!K44</f>
        <v>309000</v>
      </c>
      <c r="L61" s="200">
        <f>+'3. PREÇOS INSUMOS'!L44</f>
        <v>309000</v>
      </c>
      <c r="M61" s="200">
        <f>+'3. PREÇOS INSUMOS'!M44</f>
        <v>309000</v>
      </c>
      <c r="N61" s="200">
        <f>+'3. PREÇOS INSUMOS'!N44</f>
        <v>309000</v>
      </c>
      <c r="O61" s="200">
        <f>+'3. PREÇOS INSUMOS'!O44</f>
        <v>309000</v>
      </c>
      <c r="P61" s="200">
        <f>+'3. PREÇOS INSUMOS'!P44</f>
        <v>309000</v>
      </c>
      <c r="Q61" s="200">
        <f>+'3. PREÇOS INSUMOS'!Q44</f>
        <v>309000</v>
      </c>
      <c r="R61" s="200">
        <f>+'3. PREÇOS INSUMOS'!R44</f>
        <v>309000</v>
      </c>
      <c r="S61" s="200">
        <f>+'3. PREÇOS INSUMOS'!S44</f>
        <v>309000</v>
      </c>
      <c r="T61" s="200">
        <f>+'3. PREÇOS INSUMOS'!T44</f>
        <v>309000</v>
      </c>
      <c r="U61" s="201">
        <f>+'3. PREÇOS INSUMOS'!U44</f>
        <v>309000</v>
      </c>
    </row>
    <row r="62" spans="1:21" outlineLevel="1">
      <c r="A62" s="2">
        <v>2</v>
      </c>
      <c r="D62" s="1" t="str">
        <f>"Preço de Veíc. Novo Compl. - "&amp;VLOOKUP(A59,TIPOLOGIA!$D$10:$E$12,2,0)</f>
        <v>Preço de Veíc. Novo Compl. - CONVENCIONAL</v>
      </c>
      <c r="E62" s="716" t="s">
        <v>163</v>
      </c>
      <c r="F62" s="717"/>
      <c r="G62" s="247">
        <f>+'3. PREÇOS INSUMOS'!G45</f>
        <v>388000</v>
      </c>
      <c r="H62" s="187">
        <f>+'3. PREÇOS INSUMOS'!H45</f>
        <v>388000</v>
      </c>
      <c r="I62" s="187">
        <f>+'3. PREÇOS INSUMOS'!I45</f>
        <v>388000</v>
      </c>
      <c r="J62" s="187">
        <f>+'3. PREÇOS INSUMOS'!J45</f>
        <v>388000</v>
      </c>
      <c r="K62" s="187">
        <f>+'3. PREÇOS INSUMOS'!K45</f>
        <v>388000</v>
      </c>
      <c r="L62" s="187">
        <f>+'3. PREÇOS INSUMOS'!L45</f>
        <v>388000</v>
      </c>
      <c r="M62" s="187">
        <f>+'3. PREÇOS INSUMOS'!M45</f>
        <v>388000</v>
      </c>
      <c r="N62" s="187">
        <f>+'3. PREÇOS INSUMOS'!N45</f>
        <v>388000</v>
      </c>
      <c r="O62" s="187">
        <f>+'3. PREÇOS INSUMOS'!O45</f>
        <v>388000</v>
      </c>
      <c r="P62" s="187">
        <f>+'3. PREÇOS INSUMOS'!P45</f>
        <v>388000</v>
      </c>
      <c r="Q62" s="187">
        <f>+'3. PREÇOS INSUMOS'!Q45</f>
        <v>388000</v>
      </c>
      <c r="R62" s="187">
        <f>+'3. PREÇOS INSUMOS'!R45</f>
        <v>388000</v>
      </c>
      <c r="S62" s="187">
        <f>+'3. PREÇOS INSUMOS'!S45</f>
        <v>388000</v>
      </c>
      <c r="T62" s="187">
        <f>+'3. PREÇOS INSUMOS'!T45</f>
        <v>388000</v>
      </c>
      <c r="U62" s="188">
        <f>+'3. PREÇOS INSUMOS'!U45</f>
        <v>388000</v>
      </c>
    </row>
    <row r="63" spans="1:21" outlineLevel="1">
      <c r="A63" s="2">
        <v>3</v>
      </c>
      <c r="D63" s="173" t="str">
        <f>"Preço de Veíc. Novo Compl. - "&amp;VLOOKUP(A60,TIPOLOGIA!$D$10:$E$12,2,0)</f>
        <v>Preço de Veíc. Novo Compl. - -</v>
      </c>
      <c r="E63" s="710" t="s">
        <v>163</v>
      </c>
      <c r="F63" s="711"/>
      <c r="G63" s="252">
        <f>+'3. PREÇOS INSUMOS'!G46</f>
        <v>0</v>
      </c>
      <c r="H63" s="418">
        <f>+'3. PREÇOS INSUMOS'!H46</f>
        <v>0</v>
      </c>
      <c r="I63" s="418">
        <f>+'3. PREÇOS INSUMOS'!I46</f>
        <v>0</v>
      </c>
      <c r="J63" s="418">
        <f>+'3. PREÇOS INSUMOS'!J46</f>
        <v>0</v>
      </c>
      <c r="K63" s="418">
        <f>+'3. PREÇOS INSUMOS'!K46</f>
        <v>0</v>
      </c>
      <c r="L63" s="418">
        <f>+'3. PREÇOS INSUMOS'!L46</f>
        <v>0</v>
      </c>
      <c r="M63" s="418">
        <f>+'3. PREÇOS INSUMOS'!M46</f>
        <v>0</v>
      </c>
      <c r="N63" s="418">
        <f>+'3. PREÇOS INSUMOS'!N46</f>
        <v>0</v>
      </c>
      <c r="O63" s="418">
        <f>+'3. PREÇOS INSUMOS'!O46</f>
        <v>0</v>
      </c>
      <c r="P63" s="418">
        <f>+'3. PREÇOS INSUMOS'!P46</f>
        <v>0</v>
      </c>
      <c r="Q63" s="418">
        <f>+'3. PREÇOS INSUMOS'!Q46</f>
        <v>0</v>
      </c>
      <c r="R63" s="418">
        <f>+'3. PREÇOS INSUMOS'!R46</f>
        <v>0</v>
      </c>
      <c r="S63" s="418">
        <f>+'3. PREÇOS INSUMOS'!S46</f>
        <v>0</v>
      </c>
      <c r="T63" s="418">
        <f>+'3. PREÇOS INSUMOS'!T46</f>
        <v>0</v>
      </c>
      <c r="U63" s="383">
        <f>+'3. PREÇOS INSUMOS'!U46</f>
        <v>0</v>
      </c>
    </row>
    <row r="64" spans="1:21">
      <c r="D64" s="1" t="s">
        <v>351</v>
      </c>
      <c r="E64" s="708" t="s">
        <v>54</v>
      </c>
      <c r="F64" s="709"/>
      <c r="G64" s="262">
        <f>+'2. COEFICIENTES'!F137</f>
        <v>2.9999999999999997E-4</v>
      </c>
      <c r="H64" s="262">
        <f>+'2. COEFICIENTES'!G137</f>
        <v>2.9999999999999997E-4</v>
      </c>
      <c r="I64" s="262">
        <f>+'2. COEFICIENTES'!H137</f>
        <v>2.9999999999999997E-4</v>
      </c>
      <c r="J64" s="262">
        <f>+'2. COEFICIENTES'!I137</f>
        <v>2.9999999999999997E-4</v>
      </c>
      <c r="K64" s="262">
        <f>+'2. COEFICIENTES'!J137</f>
        <v>2.9999999999999997E-4</v>
      </c>
      <c r="L64" s="262">
        <f>+'2. COEFICIENTES'!K137</f>
        <v>2.9999999999999997E-4</v>
      </c>
      <c r="M64" s="262">
        <f>+'2. COEFICIENTES'!L137</f>
        <v>2.9999999999999997E-4</v>
      </c>
      <c r="N64" s="262">
        <f>+'2. COEFICIENTES'!M137</f>
        <v>2.9999999999999997E-4</v>
      </c>
      <c r="O64" s="262">
        <f>+'2. COEFICIENTES'!N137</f>
        <v>2.9999999999999997E-4</v>
      </c>
      <c r="P64" s="262">
        <f>+'2. COEFICIENTES'!O137</f>
        <v>2.9999999999999997E-4</v>
      </c>
      <c r="Q64" s="262">
        <f>+'2. COEFICIENTES'!P137</f>
        <v>2.9999999999999997E-4</v>
      </c>
      <c r="R64" s="262">
        <f>+'2. COEFICIENTES'!Q137</f>
        <v>2.9999999999999997E-4</v>
      </c>
      <c r="S64" s="262">
        <f>+'2. COEFICIENTES'!R137</f>
        <v>2.9999999999999997E-4</v>
      </c>
      <c r="T64" s="262">
        <f>+'2. COEFICIENTES'!S137</f>
        <v>2.9999999999999997E-4</v>
      </c>
      <c r="U64" s="419">
        <f>+'2. COEFICIENTES'!T137</f>
        <v>2.9999999999999997E-4</v>
      </c>
    </row>
    <row r="65" spans="3:21">
      <c r="C65" s="174"/>
      <c r="D65" s="174" t="s">
        <v>460</v>
      </c>
      <c r="E65" s="708" t="s">
        <v>163</v>
      </c>
      <c r="F65" s="709"/>
      <c r="G65" s="257">
        <f t="shared" ref="G65:U65" si="13">SUMPRODUCT(G58:G60,G61:G63)*G64</f>
        <v>1534.8</v>
      </c>
      <c r="H65" s="197">
        <f t="shared" si="13"/>
        <v>1534.8</v>
      </c>
      <c r="I65" s="197">
        <f t="shared" si="13"/>
        <v>1534.8</v>
      </c>
      <c r="J65" s="197">
        <f t="shared" si="13"/>
        <v>1534.8</v>
      </c>
      <c r="K65" s="197">
        <f t="shared" si="13"/>
        <v>1534.8</v>
      </c>
      <c r="L65" s="197">
        <f t="shared" si="13"/>
        <v>1534.8</v>
      </c>
      <c r="M65" s="197">
        <f t="shared" si="13"/>
        <v>1534.8</v>
      </c>
      <c r="N65" s="197">
        <f t="shared" si="13"/>
        <v>1534.8</v>
      </c>
      <c r="O65" s="197">
        <f t="shared" si="13"/>
        <v>1534.8</v>
      </c>
      <c r="P65" s="197">
        <f t="shared" si="13"/>
        <v>1534.8</v>
      </c>
      <c r="Q65" s="197">
        <f t="shared" si="13"/>
        <v>1534.8</v>
      </c>
      <c r="R65" s="197">
        <f t="shared" si="13"/>
        <v>1534.8</v>
      </c>
      <c r="S65" s="197">
        <f t="shared" si="13"/>
        <v>1534.8</v>
      </c>
      <c r="T65" s="197">
        <f t="shared" si="13"/>
        <v>1534.8</v>
      </c>
      <c r="U65" s="198">
        <f t="shared" si="13"/>
        <v>1534.8</v>
      </c>
    </row>
    <row r="66" spans="3:21">
      <c r="C66" s="174"/>
      <c r="D66" s="174" t="s">
        <v>460</v>
      </c>
      <c r="E66" s="708" t="s">
        <v>167</v>
      </c>
      <c r="F66" s="709"/>
      <c r="G66" s="257">
        <f t="shared" ref="G66:U66" si="14">+G65*12</f>
        <v>18417.599999999999</v>
      </c>
      <c r="H66" s="197">
        <f t="shared" si="14"/>
        <v>18417.599999999999</v>
      </c>
      <c r="I66" s="197">
        <f t="shared" si="14"/>
        <v>18417.599999999999</v>
      </c>
      <c r="J66" s="197">
        <f t="shared" si="14"/>
        <v>18417.599999999999</v>
      </c>
      <c r="K66" s="197">
        <f t="shared" si="14"/>
        <v>18417.599999999999</v>
      </c>
      <c r="L66" s="197">
        <f t="shared" si="14"/>
        <v>18417.599999999999</v>
      </c>
      <c r="M66" s="197">
        <f t="shared" si="14"/>
        <v>18417.599999999999</v>
      </c>
      <c r="N66" s="197">
        <f t="shared" si="14"/>
        <v>18417.599999999999</v>
      </c>
      <c r="O66" s="197">
        <f t="shared" si="14"/>
        <v>18417.599999999999</v>
      </c>
      <c r="P66" s="197">
        <f t="shared" si="14"/>
        <v>18417.599999999999</v>
      </c>
      <c r="Q66" s="197">
        <f t="shared" si="14"/>
        <v>18417.599999999999</v>
      </c>
      <c r="R66" s="197">
        <f t="shared" si="14"/>
        <v>18417.599999999999</v>
      </c>
      <c r="S66" s="197">
        <f t="shared" si="14"/>
        <v>18417.599999999999</v>
      </c>
      <c r="T66" s="197">
        <f t="shared" si="14"/>
        <v>18417.599999999999</v>
      </c>
      <c r="U66" s="198">
        <f t="shared" si="14"/>
        <v>18417.599999999999</v>
      </c>
    </row>
    <row r="69" spans="3:21" ht="15.75">
      <c r="C69" s="381" t="str">
        <f>+MENU!$C$89</f>
        <v>6.5. - CÁLCULO PARA MANUTENÇÃO DOS CUSTEIOS DO SISTEMA DE BILHETAGEM ELETRÔNICA, ITS, CÂMERAS E MONITORAMENTO</v>
      </c>
    </row>
    <row r="71" spans="3:21" ht="18" customHeight="1">
      <c r="C71" s="694" t="s">
        <v>457</v>
      </c>
      <c r="D71" s="694"/>
      <c r="E71" s="712" t="s">
        <v>6</v>
      </c>
      <c r="F71" s="713"/>
      <c r="G71" s="578">
        <v>1</v>
      </c>
      <c r="H71" s="572">
        <f t="shared" ref="H71:U71" si="15">+G71+1</f>
        <v>2</v>
      </c>
      <c r="I71" s="572">
        <f t="shared" si="15"/>
        <v>3</v>
      </c>
      <c r="J71" s="572">
        <f t="shared" si="15"/>
        <v>4</v>
      </c>
      <c r="K71" s="572">
        <f t="shared" si="15"/>
        <v>5</v>
      </c>
      <c r="L71" s="572">
        <f t="shared" si="15"/>
        <v>6</v>
      </c>
      <c r="M71" s="572">
        <f t="shared" si="15"/>
        <v>7</v>
      </c>
      <c r="N71" s="572">
        <f t="shared" si="15"/>
        <v>8</v>
      </c>
      <c r="O71" s="572">
        <f t="shared" si="15"/>
        <v>9</v>
      </c>
      <c r="P71" s="572">
        <f t="shared" si="15"/>
        <v>10</v>
      </c>
      <c r="Q71" s="572">
        <f t="shared" si="15"/>
        <v>11</v>
      </c>
      <c r="R71" s="572">
        <f t="shared" si="15"/>
        <v>12</v>
      </c>
      <c r="S71" s="572">
        <f t="shared" si="15"/>
        <v>13</v>
      </c>
      <c r="T71" s="572">
        <f t="shared" si="15"/>
        <v>14</v>
      </c>
      <c r="U71" s="573">
        <f t="shared" si="15"/>
        <v>15</v>
      </c>
    </row>
    <row r="72" spans="3:21">
      <c r="D72" s="172" t="s">
        <v>9</v>
      </c>
      <c r="E72" s="714" t="s">
        <v>157</v>
      </c>
      <c r="F72" s="715"/>
      <c r="G72" s="396">
        <f>+'1. DADOS OPERACIONAIS'!$F$23</f>
        <v>14</v>
      </c>
      <c r="H72" s="181">
        <f>+'1. DADOS OPERACIONAIS'!G23</f>
        <v>14</v>
      </c>
      <c r="I72" s="181">
        <f>+'1. DADOS OPERACIONAIS'!H23</f>
        <v>14</v>
      </c>
      <c r="J72" s="181">
        <f>+'1. DADOS OPERACIONAIS'!I23</f>
        <v>14</v>
      </c>
      <c r="K72" s="181">
        <f>+'1. DADOS OPERACIONAIS'!J23</f>
        <v>14</v>
      </c>
      <c r="L72" s="181">
        <f>+'1. DADOS OPERACIONAIS'!K23</f>
        <v>14</v>
      </c>
      <c r="M72" s="181">
        <f>+'1. DADOS OPERACIONAIS'!L23</f>
        <v>14</v>
      </c>
      <c r="N72" s="181">
        <f>+'1. DADOS OPERACIONAIS'!M23</f>
        <v>14</v>
      </c>
      <c r="O72" s="181">
        <f>+'1. DADOS OPERACIONAIS'!N23</f>
        <v>14</v>
      </c>
      <c r="P72" s="181">
        <f>+'1. DADOS OPERACIONAIS'!O23</f>
        <v>14</v>
      </c>
      <c r="Q72" s="181">
        <f>+'1. DADOS OPERACIONAIS'!P23</f>
        <v>14</v>
      </c>
      <c r="R72" s="181">
        <f>+'1. DADOS OPERACIONAIS'!Q23</f>
        <v>14</v>
      </c>
      <c r="S72" s="181">
        <f>+'1. DADOS OPERACIONAIS'!R23</f>
        <v>14</v>
      </c>
      <c r="T72" s="181">
        <f>+'1. DADOS OPERACIONAIS'!S23</f>
        <v>14</v>
      </c>
      <c r="U72" s="182">
        <f>+'1. DADOS OPERACIONAIS'!T23</f>
        <v>14</v>
      </c>
    </row>
    <row r="73" spans="3:21">
      <c r="D73" s="1" t="s">
        <v>459</v>
      </c>
      <c r="E73" s="710" t="s">
        <v>25</v>
      </c>
      <c r="F73" s="711"/>
      <c r="G73" s="247">
        <f>+'3. PREÇOS INSUMOS'!G195</f>
        <v>705</v>
      </c>
      <c r="H73" s="247">
        <f>+'3. PREÇOS INSUMOS'!H195</f>
        <v>705</v>
      </c>
      <c r="I73" s="247">
        <f>+'3. PREÇOS INSUMOS'!I195</f>
        <v>705</v>
      </c>
      <c r="J73" s="247">
        <f>+'3. PREÇOS INSUMOS'!J195</f>
        <v>705</v>
      </c>
      <c r="K73" s="247">
        <f>+'3. PREÇOS INSUMOS'!K195</f>
        <v>705</v>
      </c>
      <c r="L73" s="247">
        <f>+'3. PREÇOS INSUMOS'!L195</f>
        <v>705</v>
      </c>
      <c r="M73" s="247">
        <f>+'3. PREÇOS INSUMOS'!M195</f>
        <v>705</v>
      </c>
      <c r="N73" s="247">
        <f>+'3. PREÇOS INSUMOS'!N195</f>
        <v>705</v>
      </c>
      <c r="O73" s="247">
        <f>+'3. PREÇOS INSUMOS'!O195</f>
        <v>705</v>
      </c>
      <c r="P73" s="247">
        <f>+'3. PREÇOS INSUMOS'!P195</f>
        <v>705</v>
      </c>
      <c r="Q73" s="247">
        <f>+'3. PREÇOS INSUMOS'!Q195</f>
        <v>705</v>
      </c>
      <c r="R73" s="247">
        <f>+'3. PREÇOS INSUMOS'!R195</f>
        <v>705</v>
      </c>
      <c r="S73" s="247">
        <f>+'3. PREÇOS INSUMOS'!S195</f>
        <v>705</v>
      </c>
      <c r="T73" s="247">
        <f>+'3. PREÇOS INSUMOS'!T195</f>
        <v>705</v>
      </c>
      <c r="U73" s="188">
        <f>+'3. PREÇOS INSUMOS'!U195</f>
        <v>705</v>
      </c>
    </row>
    <row r="74" spans="3:21">
      <c r="C74" s="174"/>
      <c r="D74" s="174" t="s">
        <v>461</v>
      </c>
      <c r="E74" s="708" t="s">
        <v>163</v>
      </c>
      <c r="F74" s="709"/>
      <c r="G74" s="257">
        <f>G72*G73</f>
        <v>9870</v>
      </c>
      <c r="H74" s="257">
        <f t="shared" ref="H74:U74" si="16">H72*H73</f>
        <v>9870</v>
      </c>
      <c r="I74" s="257">
        <f t="shared" si="16"/>
        <v>9870</v>
      </c>
      <c r="J74" s="257">
        <f t="shared" si="16"/>
        <v>9870</v>
      </c>
      <c r="K74" s="257">
        <f t="shared" si="16"/>
        <v>9870</v>
      </c>
      <c r="L74" s="257">
        <f t="shared" si="16"/>
        <v>9870</v>
      </c>
      <c r="M74" s="257">
        <f t="shared" si="16"/>
        <v>9870</v>
      </c>
      <c r="N74" s="257">
        <f t="shared" si="16"/>
        <v>9870</v>
      </c>
      <c r="O74" s="257">
        <f t="shared" si="16"/>
        <v>9870</v>
      </c>
      <c r="P74" s="257">
        <f t="shared" si="16"/>
        <v>9870</v>
      </c>
      <c r="Q74" s="257">
        <f t="shared" si="16"/>
        <v>9870</v>
      </c>
      <c r="R74" s="257">
        <f t="shared" si="16"/>
        <v>9870</v>
      </c>
      <c r="S74" s="257">
        <f t="shared" si="16"/>
        <v>9870</v>
      </c>
      <c r="T74" s="257">
        <f t="shared" si="16"/>
        <v>9870</v>
      </c>
      <c r="U74" s="397">
        <f t="shared" si="16"/>
        <v>9870</v>
      </c>
    </row>
    <row r="75" spans="3:21">
      <c r="C75" s="174"/>
      <c r="D75" s="174" t="s">
        <v>461</v>
      </c>
      <c r="E75" s="708" t="s">
        <v>167</v>
      </c>
      <c r="F75" s="709"/>
      <c r="G75" s="257">
        <f t="shared" ref="G75:U75" si="17">+G74*12</f>
        <v>118440</v>
      </c>
      <c r="H75" s="197">
        <f t="shared" si="17"/>
        <v>118440</v>
      </c>
      <c r="I75" s="197">
        <f t="shared" si="17"/>
        <v>118440</v>
      </c>
      <c r="J75" s="197">
        <f t="shared" si="17"/>
        <v>118440</v>
      </c>
      <c r="K75" s="197">
        <f t="shared" si="17"/>
        <v>118440</v>
      </c>
      <c r="L75" s="197">
        <f t="shared" si="17"/>
        <v>118440</v>
      </c>
      <c r="M75" s="197">
        <f t="shared" si="17"/>
        <v>118440</v>
      </c>
      <c r="N75" s="197">
        <f t="shared" si="17"/>
        <v>118440</v>
      </c>
      <c r="O75" s="197">
        <f t="shared" si="17"/>
        <v>118440</v>
      </c>
      <c r="P75" s="197">
        <f t="shared" si="17"/>
        <v>118440</v>
      </c>
      <c r="Q75" s="197">
        <f t="shared" si="17"/>
        <v>118440</v>
      </c>
      <c r="R75" s="197">
        <f t="shared" si="17"/>
        <v>118440</v>
      </c>
      <c r="S75" s="197">
        <f t="shared" si="17"/>
        <v>118440</v>
      </c>
      <c r="T75" s="197">
        <f t="shared" si="17"/>
        <v>118440</v>
      </c>
      <c r="U75" s="198">
        <f t="shared" si="17"/>
        <v>118440</v>
      </c>
    </row>
    <row r="78" spans="3:21" ht="15.75">
      <c r="C78" s="381" t="str">
        <f>+MENU!$C$90</f>
        <v>6.6. - CÁLCULO DE LOCAÇÃO DE GARAGEM</v>
      </c>
    </row>
    <row r="79" spans="3:21">
      <c r="C79" s="4"/>
    </row>
    <row r="80" spans="3:21" ht="18" customHeight="1">
      <c r="C80" s="694" t="s">
        <v>359</v>
      </c>
      <c r="D80" s="694"/>
      <c r="E80" s="712" t="s">
        <v>6</v>
      </c>
      <c r="F80" s="713"/>
      <c r="G80" s="578">
        <v>1</v>
      </c>
      <c r="H80" s="572">
        <f t="shared" ref="H80:U80" si="18">+G80+1</f>
        <v>2</v>
      </c>
      <c r="I80" s="572">
        <f t="shared" si="18"/>
        <v>3</v>
      </c>
      <c r="J80" s="572">
        <f t="shared" si="18"/>
        <v>4</v>
      </c>
      <c r="K80" s="572">
        <f t="shared" si="18"/>
        <v>5</v>
      </c>
      <c r="L80" s="572">
        <f t="shared" si="18"/>
        <v>6</v>
      </c>
      <c r="M80" s="572">
        <f t="shared" si="18"/>
        <v>7</v>
      </c>
      <c r="N80" s="572">
        <f t="shared" si="18"/>
        <v>8</v>
      </c>
      <c r="O80" s="572">
        <f t="shared" si="18"/>
        <v>9</v>
      </c>
      <c r="P80" s="572">
        <f t="shared" si="18"/>
        <v>10</v>
      </c>
      <c r="Q80" s="572">
        <f t="shared" si="18"/>
        <v>11</v>
      </c>
      <c r="R80" s="572">
        <f t="shared" si="18"/>
        <v>12</v>
      </c>
      <c r="S80" s="572">
        <f t="shared" si="18"/>
        <v>13</v>
      </c>
      <c r="T80" s="572">
        <f t="shared" si="18"/>
        <v>14</v>
      </c>
      <c r="U80" s="573">
        <f t="shared" si="18"/>
        <v>15</v>
      </c>
    </row>
    <row r="81" spans="2:21">
      <c r="D81" s="1" t="s">
        <v>359</v>
      </c>
      <c r="E81" s="710" t="s">
        <v>163</v>
      </c>
      <c r="F81" s="711"/>
      <c r="G81" s="247">
        <f>+'3. PREÇOS INSUMOS'!G201</f>
        <v>10000</v>
      </c>
      <c r="H81" s="247">
        <f>+'3. PREÇOS INSUMOS'!H201</f>
        <v>10000</v>
      </c>
      <c r="I81" s="247">
        <f>+'3. PREÇOS INSUMOS'!I201</f>
        <v>10000</v>
      </c>
      <c r="J81" s="247">
        <f>+'3. PREÇOS INSUMOS'!J201</f>
        <v>10000</v>
      </c>
      <c r="K81" s="247">
        <f>+'3. PREÇOS INSUMOS'!K201</f>
        <v>10000</v>
      </c>
      <c r="L81" s="247">
        <f>+'3. PREÇOS INSUMOS'!L201</f>
        <v>10000</v>
      </c>
      <c r="M81" s="247">
        <f>+'3. PREÇOS INSUMOS'!M201</f>
        <v>10000</v>
      </c>
      <c r="N81" s="247">
        <f>+'3. PREÇOS INSUMOS'!N201</f>
        <v>10000</v>
      </c>
      <c r="O81" s="247">
        <f>+'3. PREÇOS INSUMOS'!O201</f>
        <v>10000</v>
      </c>
      <c r="P81" s="247">
        <f>+'3. PREÇOS INSUMOS'!P201</f>
        <v>10000</v>
      </c>
      <c r="Q81" s="247">
        <f>+'3. PREÇOS INSUMOS'!Q201</f>
        <v>10000</v>
      </c>
      <c r="R81" s="247">
        <f>+'3. PREÇOS INSUMOS'!R201</f>
        <v>10000</v>
      </c>
      <c r="S81" s="247">
        <f>+'3. PREÇOS INSUMOS'!S201</f>
        <v>10000</v>
      </c>
      <c r="T81" s="247">
        <f>+'3. PREÇOS INSUMOS'!T201</f>
        <v>10000</v>
      </c>
      <c r="U81" s="188">
        <f>+'3. PREÇOS INSUMOS'!U201</f>
        <v>10000</v>
      </c>
    </row>
    <row r="82" spans="2:21">
      <c r="C82" s="174"/>
      <c r="D82" s="174" t="s">
        <v>462</v>
      </c>
      <c r="E82" s="708" t="s">
        <v>163</v>
      </c>
      <c r="F82" s="709"/>
      <c r="G82" s="257">
        <f>+G81</f>
        <v>10000</v>
      </c>
      <c r="H82" s="257">
        <f t="shared" ref="H82:U82" si="19">+H81</f>
        <v>10000</v>
      </c>
      <c r="I82" s="257">
        <f t="shared" si="19"/>
        <v>10000</v>
      </c>
      <c r="J82" s="257">
        <f t="shared" si="19"/>
        <v>10000</v>
      </c>
      <c r="K82" s="257">
        <f t="shared" si="19"/>
        <v>10000</v>
      </c>
      <c r="L82" s="257">
        <f t="shared" si="19"/>
        <v>10000</v>
      </c>
      <c r="M82" s="257">
        <f t="shared" si="19"/>
        <v>10000</v>
      </c>
      <c r="N82" s="257">
        <f t="shared" si="19"/>
        <v>10000</v>
      </c>
      <c r="O82" s="257">
        <f t="shared" si="19"/>
        <v>10000</v>
      </c>
      <c r="P82" s="257">
        <f t="shared" si="19"/>
        <v>10000</v>
      </c>
      <c r="Q82" s="257">
        <f t="shared" si="19"/>
        <v>10000</v>
      </c>
      <c r="R82" s="257">
        <f t="shared" si="19"/>
        <v>10000</v>
      </c>
      <c r="S82" s="257">
        <f t="shared" si="19"/>
        <v>10000</v>
      </c>
      <c r="T82" s="257">
        <f t="shared" si="19"/>
        <v>10000</v>
      </c>
      <c r="U82" s="397">
        <f t="shared" si="19"/>
        <v>10000</v>
      </c>
    </row>
    <row r="83" spans="2:21">
      <c r="C83" s="174"/>
      <c r="D83" s="174" t="s">
        <v>462</v>
      </c>
      <c r="E83" s="708" t="s">
        <v>167</v>
      </c>
      <c r="F83" s="709"/>
      <c r="G83" s="257">
        <f>+G82*12</f>
        <v>120000</v>
      </c>
      <c r="H83" s="197">
        <f t="shared" ref="H83:U83" si="20">+H82*12</f>
        <v>120000</v>
      </c>
      <c r="I83" s="197">
        <f t="shared" si="20"/>
        <v>120000</v>
      </c>
      <c r="J83" s="197">
        <f t="shared" si="20"/>
        <v>120000</v>
      </c>
      <c r="K83" s="197">
        <f t="shared" si="20"/>
        <v>120000</v>
      </c>
      <c r="L83" s="197">
        <f t="shared" si="20"/>
        <v>120000</v>
      </c>
      <c r="M83" s="197">
        <f t="shared" si="20"/>
        <v>120000</v>
      </c>
      <c r="N83" s="197">
        <f t="shared" si="20"/>
        <v>120000</v>
      </c>
      <c r="O83" s="197">
        <f t="shared" si="20"/>
        <v>120000</v>
      </c>
      <c r="P83" s="197">
        <f t="shared" si="20"/>
        <v>120000</v>
      </c>
      <c r="Q83" s="197">
        <f t="shared" si="20"/>
        <v>120000</v>
      </c>
      <c r="R83" s="197">
        <f t="shared" si="20"/>
        <v>120000</v>
      </c>
      <c r="S83" s="197">
        <f t="shared" si="20"/>
        <v>120000</v>
      </c>
      <c r="T83" s="197">
        <f t="shared" si="20"/>
        <v>120000</v>
      </c>
      <c r="U83" s="198">
        <f t="shared" si="20"/>
        <v>120000</v>
      </c>
    </row>
    <row r="86" spans="2:21" ht="15.75">
      <c r="B86" s="381" t="str">
        <f>+MENU!C91</f>
        <v>6.7. - RESUMO DA TOTALIZAÇÃO DOS CUSTEIOS ADMINISTRATIVOS</v>
      </c>
    </row>
    <row r="87" spans="2:21" ht="13.5" thickBot="1">
      <c r="B87" s="4"/>
    </row>
    <row r="88" spans="2:21" ht="18" customHeight="1">
      <c r="C88" s="707" t="s">
        <v>458</v>
      </c>
      <c r="D88" s="707"/>
      <c r="E88" s="582" t="s">
        <v>6</v>
      </c>
      <c r="F88" s="584" t="s">
        <v>269</v>
      </c>
      <c r="G88" s="583">
        <v>1</v>
      </c>
      <c r="H88" s="584">
        <f t="shared" ref="H88:U88" si="21">+G88+1</f>
        <v>2</v>
      </c>
      <c r="I88" s="584">
        <f t="shared" si="21"/>
        <v>3</v>
      </c>
      <c r="J88" s="584">
        <f t="shared" si="21"/>
        <v>4</v>
      </c>
      <c r="K88" s="584">
        <f t="shared" si="21"/>
        <v>5</v>
      </c>
      <c r="L88" s="584">
        <f t="shared" si="21"/>
        <v>6</v>
      </c>
      <c r="M88" s="584">
        <f t="shared" si="21"/>
        <v>7</v>
      </c>
      <c r="N88" s="584">
        <f t="shared" si="21"/>
        <v>8</v>
      </c>
      <c r="O88" s="584">
        <f t="shared" si="21"/>
        <v>9</v>
      </c>
      <c r="P88" s="584">
        <f t="shared" si="21"/>
        <v>10</v>
      </c>
      <c r="Q88" s="584">
        <f t="shared" si="21"/>
        <v>11</v>
      </c>
      <c r="R88" s="584">
        <f t="shared" si="21"/>
        <v>12</v>
      </c>
      <c r="S88" s="584">
        <f t="shared" si="21"/>
        <v>13</v>
      </c>
      <c r="T88" s="584">
        <f t="shared" si="21"/>
        <v>14</v>
      </c>
      <c r="U88" s="585">
        <f t="shared" si="21"/>
        <v>15</v>
      </c>
    </row>
    <row r="89" spans="2:21" ht="18" customHeight="1">
      <c r="D89" s="216" t="s">
        <v>265</v>
      </c>
      <c r="E89" s="225" t="s">
        <v>70</v>
      </c>
      <c r="F89" s="97"/>
      <c r="G89" s="221">
        <f t="shared" ref="G89:U89" si="22">+G20</f>
        <v>121.99833333333331</v>
      </c>
      <c r="H89" s="221">
        <f t="shared" si="22"/>
        <v>121.99833333333331</v>
      </c>
      <c r="I89" s="221">
        <f t="shared" si="22"/>
        <v>121.99833333333331</v>
      </c>
      <c r="J89" s="221">
        <f t="shared" si="22"/>
        <v>121.99833333333331</v>
      </c>
      <c r="K89" s="221">
        <f t="shared" si="22"/>
        <v>121.99833333333331</v>
      </c>
      <c r="L89" s="221">
        <f t="shared" si="22"/>
        <v>121.99833333333331</v>
      </c>
      <c r="M89" s="221">
        <f t="shared" si="22"/>
        <v>121.99833333333331</v>
      </c>
      <c r="N89" s="221">
        <f t="shared" si="22"/>
        <v>121.99833333333331</v>
      </c>
      <c r="O89" s="221">
        <f t="shared" si="22"/>
        <v>121.99833333333331</v>
      </c>
      <c r="P89" s="221">
        <f t="shared" si="22"/>
        <v>121.99833333333331</v>
      </c>
      <c r="Q89" s="221">
        <f t="shared" si="22"/>
        <v>121.99833333333331</v>
      </c>
      <c r="R89" s="221">
        <f t="shared" si="22"/>
        <v>121.99833333333331</v>
      </c>
      <c r="S89" s="221">
        <f t="shared" si="22"/>
        <v>121.99833333333331</v>
      </c>
      <c r="T89" s="221">
        <f t="shared" si="22"/>
        <v>121.99833333333331</v>
      </c>
      <c r="U89" s="98">
        <f t="shared" si="22"/>
        <v>121.99833333333331</v>
      </c>
    </row>
    <row r="90" spans="2:21" ht="18" customHeight="1">
      <c r="D90" s="217" t="s">
        <v>266</v>
      </c>
      <c r="E90" s="226" t="str">
        <f>+E89</f>
        <v>(R$/mês)</v>
      </c>
      <c r="F90" s="69"/>
      <c r="G90" s="222">
        <f t="shared" ref="G90:U90" si="23">+G32</f>
        <v>991.7600000000001</v>
      </c>
      <c r="H90" s="222">
        <f t="shared" si="23"/>
        <v>991.7600000000001</v>
      </c>
      <c r="I90" s="222">
        <f t="shared" si="23"/>
        <v>991.7600000000001</v>
      </c>
      <c r="J90" s="222">
        <f t="shared" si="23"/>
        <v>991.7600000000001</v>
      </c>
      <c r="K90" s="222">
        <f t="shared" si="23"/>
        <v>991.7600000000001</v>
      </c>
      <c r="L90" s="222">
        <f t="shared" si="23"/>
        <v>991.7600000000001</v>
      </c>
      <c r="M90" s="222">
        <f t="shared" si="23"/>
        <v>991.7600000000001</v>
      </c>
      <c r="N90" s="222">
        <f t="shared" si="23"/>
        <v>991.7600000000001</v>
      </c>
      <c r="O90" s="222">
        <f t="shared" si="23"/>
        <v>991.7600000000001</v>
      </c>
      <c r="P90" s="222">
        <f t="shared" si="23"/>
        <v>991.7600000000001</v>
      </c>
      <c r="Q90" s="222">
        <f t="shared" si="23"/>
        <v>991.7600000000001</v>
      </c>
      <c r="R90" s="222">
        <f t="shared" si="23"/>
        <v>991.7600000000001</v>
      </c>
      <c r="S90" s="222">
        <f t="shared" si="23"/>
        <v>991.7600000000001</v>
      </c>
      <c r="T90" s="222">
        <f t="shared" si="23"/>
        <v>991.7600000000001</v>
      </c>
      <c r="U90" s="70">
        <f t="shared" si="23"/>
        <v>991.7600000000001</v>
      </c>
    </row>
    <row r="91" spans="2:21" ht="18" customHeight="1">
      <c r="D91" s="202" t="s">
        <v>267</v>
      </c>
      <c r="E91" s="227" t="str">
        <f>+E90</f>
        <v>(R$/mês)</v>
      </c>
      <c r="F91" s="69"/>
      <c r="G91" s="222">
        <f t="shared" ref="G91:U91" si="24">+G42</f>
        <v>9958.6666666666679</v>
      </c>
      <c r="H91" s="222">
        <f t="shared" si="24"/>
        <v>9958.6666666666679</v>
      </c>
      <c r="I91" s="222">
        <f t="shared" si="24"/>
        <v>9958.6666666666679</v>
      </c>
      <c r="J91" s="222">
        <f t="shared" si="24"/>
        <v>9958.6666666666679</v>
      </c>
      <c r="K91" s="222">
        <f t="shared" si="24"/>
        <v>9958.6666666666679</v>
      </c>
      <c r="L91" s="222">
        <f t="shared" si="24"/>
        <v>9958.6666666666679</v>
      </c>
      <c r="M91" s="222">
        <f t="shared" si="24"/>
        <v>9958.6666666666679</v>
      </c>
      <c r="N91" s="222">
        <f t="shared" si="24"/>
        <v>9958.6666666666679</v>
      </c>
      <c r="O91" s="222">
        <f t="shared" si="24"/>
        <v>9958.6666666666679</v>
      </c>
      <c r="P91" s="222">
        <f t="shared" si="24"/>
        <v>9958.6666666666679</v>
      </c>
      <c r="Q91" s="222">
        <f t="shared" si="24"/>
        <v>9958.6666666666679</v>
      </c>
      <c r="R91" s="222">
        <f t="shared" si="24"/>
        <v>9958.6666666666679</v>
      </c>
      <c r="S91" s="222">
        <f t="shared" si="24"/>
        <v>9958.6666666666679</v>
      </c>
      <c r="T91" s="222">
        <f t="shared" si="24"/>
        <v>9958.6666666666679</v>
      </c>
      <c r="U91" s="70">
        <f t="shared" si="24"/>
        <v>9958.6666666666679</v>
      </c>
    </row>
    <row r="92" spans="2:21" ht="18" customHeight="1">
      <c r="D92" s="202" t="s">
        <v>268</v>
      </c>
      <c r="E92" s="227" t="str">
        <f>+E91</f>
        <v>(R$/mês)</v>
      </c>
      <c r="F92" s="69"/>
      <c r="G92" s="222">
        <f t="shared" ref="G92:U92" si="25">+G51</f>
        <v>8431.8698217816018</v>
      </c>
      <c r="H92" s="222">
        <f t="shared" si="25"/>
        <v>9773.4016806408017</v>
      </c>
      <c r="I92" s="222">
        <f t="shared" si="25"/>
        <v>9773.4016806408017</v>
      </c>
      <c r="J92" s="222">
        <f t="shared" si="25"/>
        <v>9773.4016806408017</v>
      </c>
      <c r="K92" s="222">
        <f t="shared" si="25"/>
        <v>9773.4016806408017</v>
      </c>
      <c r="L92" s="222">
        <f t="shared" si="25"/>
        <v>9773.4016806408017</v>
      </c>
      <c r="M92" s="222">
        <f t="shared" si="25"/>
        <v>9773.4016806408017</v>
      </c>
      <c r="N92" s="222">
        <f t="shared" si="25"/>
        <v>9773.4016806408017</v>
      </c>
      <c r="O92" s="222">
        <f t="shared" si="25"/>
        <v>9773.4016806408017</v>
      </c>
      <c r="P92" s="222">
        <f t="shared" si="25"/>
        <v>9773.4016806408017</v>
      </c>
      <c r="Q92" s="222">
        <f t="shared" si="25"/>
        <v>9773.4016806408017</v>
      </c>
      <c r="R92" s="222">
        <f t="shared" si="25"/>
        <v>9773.4016806408017</v>
      </c>
      <c r="S92" s="222">
        <f t="shared" si="25"/>
        <v>9773.4016806408017</v>
      </c>
      <c r="T92" s="222">
        <f t="shared" si="25"/>
        <v>9773.4016806408017</v>
      </c>
      <c r="U92" s="70">
        <f t="shared" si="25"/>
        <v>9773.4016806408017</v>
      </c>
    </row>
    <row r="93" spans="2:21" ht="18" customHeight="1">
      <c r="D93" s="218" t="s">
        <v>270</v>
      </c>
      <c r="E93" s="246" t="str">
        <f>+E92</f>
        <v>(R$/mês)</v>
      </c>
      <c r="F93" s="69"/>
      <c r="G93" s="222">
        <f t="shared" ref="G93:U93" si="26">+G65</f>
        <v>1534.8</v>
      </c>
      <c r="H93" s="222">
        <f t="shared" si="26"/>
        <v>1534.8</v>
      </c>
      <c r="I93" s="222">
        <f t="shared" si="26"/>
        <v>1534.8</v>
      </c>
      <c r="J93" s="222">
        <f t="shared" si="26"/>
        <v>1534.8</v>
      </c>
      <c r="K93" s="222">
        <f t="shared" si="26"/>
        <v>1534.8</v>
      </c>
      <c r="L93" s="222">
        <f t="shared" si="26"/>
        <v>1534.8</v>
      </c>
      <c r="M93" s="222">
        <f t="shared" si="26"/>
        <v>1534.8</v>
      </c>
      <c r="N93" s="222">
        <f t="shared" si="26"/>
        <v>1534.8</v>
      </c>
      <c r="O93" s="222">
        <f t="shared" si="26"/>
        <v>1534.8</v>
      </c>
      <c r="P93" s="222">
        <f t="shared" si="26"/>
        <v>1534.8</v>
      </c>
      <c r="Q93" s="222">
        <f t="shared" si="26"/>
        <v>1534.8</v>
      </c>
      <c r="R93" s="222">
        <f t="shared" si="26"/>
        <v>1534.8</v>
      </c>
      <c r="S93" s="222">
        <f t="shared" si="26"/>
        <v>1534.8</v>
      </c>
      <c r="T93" s="222">
        <f t="shared" si="26"/>
        <v>1534.8</v>
      </c>
      <c r="U93" s="70">
        <f t="shared" si="26"/>
        <v>1534.8</v>
      </c>
    </row>
    <row r="94" spans="2:21" ht="25.5">
      <c r="D94" s="395" t="s">
        <v>352</v>
      </c>
      <c r="E94" s="246" t="str">
        <f>E93</f>
        <v>(R$/mês)</v>
      </c>
      <c r="F94" s="69"/>
      <c r="G94" s="222">
        <f t="shared" ref="G94:U94" si="27">G74</f>
        <v>9870</v>
      </c>
      <c r="H94" s="222">
        <f t="shared" si="27"/>
        <v>9870</v>
      </c>
      <c r="I94" s="222">
        <f t="shared" si="27"/>
        <v>9870</v>
      </c>
      <c r="J94" s="222">
        <f t="shared" si="27"/>
        <v>9870</v>
      </c>
      <c r="K94" s="222">
        <f t="shared" si="27"/>
        <v>9870</v>
      </c>
      <c r="L94" s="222">
        <f t="shared" si="27"/>
        <v>9870</v>
      </c>
      <c r="M94" s="222">
        <f t="shared" si="27"/>
        <v>9870</v>
      </c>
      <c r="N94" s="222">
        <f t="shared" si="27"/>
        <v>9870</v>
      </c>
      <c r="O94" s="222">
        <f t="shared" si="27"/>
        <v>9870</v>
      </c>
      <c r="P94" s="222">
        <f t="shared" si="27"/>
        <v>9870</v>
      </c>
      <c r="Q94" s="222">
        <f t="shared" si="27"/>
        <v>9870</v>
      </c>
      <c r="R94" s="222">
        <f t="shared" si="27"/>
        <v>9870</v>
      </c>
      <c r="S94" s="222">
        <f t="shared" si="27"/>
        <v>9870</v>
      </c>
      <c r="T94" s="222">
        <f t="shared" si="27"/>
        <v>9870</v>
      </c>
      <c r="U94" s="70">
        <f t="shared" si="27"/>
        <v>9870</v>
      </c>
    </row>
    <row r="95" spans="2:21" ht="13.5" thickBot="1">
      <c r="D95" s="258" t="s">
        <v>363</v>
      </c>
      <c r="E95" s="246" t="str">
        <f>+E94</f>
        <v>(R$/mês)</v>
      </c>
      <c r="F95" s="99"/>
      <c r="G95" s="137">
        <f>+G82</f>
        <v>10000</v>
      </c>
      <c r="H95" s="137">
        <f t="shared" ref="H95:U95" si="28">+H82</f>
        <v>10000</v>
      </c>
      <c r="I95" s="137">
        <f t="shared" si="28"/>
        <v>10000</v>
      </c>
      <c r="J95" s="137">
        <f t="shared" si="28"/>
        <v>10000</v>
      </c>
      <c r="K95" s="137">
        <f t="shared" si="28"/>
        <v>10000</v>
      </c>
      <c r="L95" s="137">
        <f t="shared" si="28"/>
        <v>10000</v>
      </c>
      <c r="M95" s="137">
        <f t="shared" si="28"/>
        <v>10000</v>
      </c>
      <c r="N95" s="137">
        <f t="shared" si="28"/>
        <v>10000</v>
      </c>
      <c r="O95" s="137">
        <f t="shared" si="28"/>
        <v>10000</v>
      </c>
      <c r="P95" s="137">
        <f t="shared" si="28"/>
        <v>10000</v>
      </c>
      <c r="Q95" s="137">
        <f t="shared" si="28"/>
        <v>10000</v>
      </c>
      <c r="R95" s="137">
        <f t="shared" si="28"/>
        <v>10000</v>
      </c>
      <c r="S95" s="137">
        <f t="shared" si="28"/>
        <v>10000</v>
      </c>
      <c r="T95" s="137">
        <f t="shared" si="28"/>
        <v>10000</v>
      </c>
      <c r="U95" s="100">
        <f t="shared" si="28"/>
        <v>10000</v>
      </c>
    </row>
    <row r="96" spans="2:21" ht="18" customHeight="1">
      <c r="D96" s="219" t="s">
        <v>463</v>
      </c>
      <c r="E96" s="229" t="s">
        <v>70</v>
      </c>
      <c r="F96" s="214">
        <f>SUM(F89:F94)</f>
        <v>0</v>
      </c>
      <c r="G96" s="223">
        <f>SUM(G89:G95)</f>
        <v>40909.094821781604</v>
      </c>
      <c r="H96" s="214">
        <f t="shared" ref="H96:U96" si="29">SUM(H89:H95)</f>
        <v>42250.626680640802</v>
      </c>
      <c r="I96" s="214">
        <f t="shared" si="29"/>
        <v>42250.626680640802</v>
      </c>
      <c r="J96" s="214">
        <f t="shared" si="29"/>
        <v>42250.626680640802</v>
      </c>
      <c r="K96" s="214">
        <f t="shared" si="29"/>
        <v>42250.626680640802</v>
      </c>
      <c r="L96" s="214">
        <f t="shared" si="29"/>
        <v>42250.626680640802</v>
      </c>
      <c r="M96" s="214">
        <f t="shared" si="29"/>
        <v>42250.626680640802</v>
      </c>
      <c r="N96" s="214">
        <f t="shared" si="29"/>
        <v>42250.626680640802</v>
      </c>
      <c r="O96" s="214">
        <f t="shared" si="29"/>
        <v>42250.626680640802</v>
      </c>
      <c r="P96" s="214">
        <f t="shared" si="29"/>
        <v>42250.626680640802</v>
      </c>
      <c r="Q96" s="214">
        <f t="shared" si="29"/>
        <v>42250.626680640802</v>
      </c>
      <c r="R96" s="214">
        <f t="shared" si="29"/>
        <v>42250.626680640802</v>
      </c>
      <c r="S96" s="214">
        <f t="shared" si="29"/>
        <v>42250.626680640802</v>
      </c>
      <c r="T96" s="214">
        <f t="shared" si="29"/>
        <v>42250.626680640802</v>
      </c>
      <c r="U96" s="294">
        <f t="shared" si="29"/>
        <v>42250.626680640802</v>
      </c>
    </row>
    <row r="97" spans="4:21" ht="18" customHeight="1" thickBot="1">
      <c r="D97" s="220" t="s">
        <v>463</v>
      </c>
      <c r="E97" s="230" t="s">
        <v>167</v>
      </c>
      <c r="F97" s="212">
        <f>+F96</f>
        <v>0</v>
      </c>
      <c r="G97" s="224">
        <f>+G96*12</f>
        <v>490909.13786137925</v>
      </c>
      <c r="H97" s="212">
        <f>+H96*12</f>
        <v>507007.52016768965</v>
      </c>
      <c r="I97" s="212">
        <f t="shared" ref="I97:T97" si="30">+I96*12</f>
        <v>507007.52016768965</v>
      </c>
      <c r="J97" s="212">
        <f t="shared" si="30"/>
        <v>507007.52016768965</v>
      </c>
      <c r="K97" s="212">
        <f t="shared" si="30"/>
        <v>507007.52016768965</v>
      </c>
      <c r="L97" s="212">
        <f t="shared" si="30"/>
        <v>507007.52016768965</v>
      </c>
      <c r="M97" s="212">
        <f t="shared" si="30"/>
        <v>507007.52016768965</v>
      </c>
      <c r="N97" s="212">
        <f t="shared" si="30"/>
        <v>507007.52016768965</v>
      </c>
      <c r="O97" s="212">
        <f t="shared" si="30"/>
        <v>507007.52016768965</v>
      </c>
      <c r="P97" s="212">
        <f t="shared" si="30"/>
        <v>507007.52016768965</v>
      </c>
      <c r="Q97" s="212">
        <f t="shared" si="30"/>
        <v>507007.52016768965</v>
      </c>
      <c r="R97" s="212">
        <f t="shared" si="30"/>
        <v>507007.52016768965</v>
      </c>
      <c r="S97" s="212">
        <f t="shared" si="30"/>
        <v>507007.52016768965</v>
      </c>
      <c r="T97" s="212">
        <f t="shared" si="30"/>
        <v>507007.52016768965</v>
      </c>
      <c r="U97" s="213">
        <f>+U96*12</f>
        <v>507007.52016768965</v>
      </c>
    </row>
    <row r="98" spans="4:21">
      <c r="F98" s="2"/>
    </row>
    <row r="99" spans="4:21">
      <c r="F99" s="2"/>
    </row>
    <row r="100" spans="4:21">
      <c r="F100" s="2"/>
    </row>
  </sheetData>
  <mergeCells count="56">
    <mergeCell ref="C88:D88"/>
    <mergeCell ref="C71:D71"/>
    <mergeCell ref="C80:D80"/>
    <mergeCell ref="E80:F80"/>
    <mergeCell ref="E81:F81"/>
    <mergeCell ref="E82:F82"/>
    <mergeCell ref="E83:F83"/>
    <mergeCell ref="E75:F75"/>
    <mergeCell ref="E73:F73"/>
    <mergeCell ref="E74:F74"/>
    <mergeCell ref="E71:F71"/>
    <mergeCell ref="C13:D13"/>
    <mergeCell ref="C25:D25"/>
    <mergeCell ref="C38:D38"/>
    <mergeCell ref="C48:D48"/>
    <mergeCell ref="C57:D57"/>
    <mergeCell ref="E51:F51"/>
    <mergeCell ref="E50:F50"/>
    <mergeCell ref="E49:F49"/>
    <mergeCell ref="E48:F48"/>
    <mergeCell ref="E72:F72"/>
    <mergeCell ref="E62:F62"/>
    <mergeCell ref="E57:F57"/>
    <mergeCell ref="E52:F52"/>
    <mergeCell ref="E60:F60"/>
    <mergeCell ref="E58:F58"/>
    <mergeCell ref="E61:F61"/>
    <mergeCell ref="E59:F59"/>
    <mergeCell ref="E63:F63"/>
    <mergeCell ref="E64:F64"/>
    <mergeCell ref="E65:F65"/>
    <mergeCell ref="E66:F66"/>
    <mergeCell ref="E26:F26"/>
    <mergeCell ref="E27:F27"/>
    <mergeCell ref="E28:F28"/>
    <mergeCell ref="E38:F38"/>
    <mergeCell ref="E39:F39"/>
    <mergeCell ref="E29:F29"/>
    <mergeCell ref="E30:F30"/>
    <mergeCell ref="E31:F31"/>
    <mergeCell ref="E19:F19"/>
    <mergeCell ref="E20:F20"/>
    <mergeCell ref="E21:F21"/>
    <mergeCell ref="E13:F13"/>
    <mergeCell ref="E25:F25"/>
    <mergeCell ref="E14:F14"/>
    <mergeCell ref="E15:F15"/>
    <mergeCell ref="E16:F16"/>
    <mergeCell ref="E17:F17"/>
    <mergeCell ref="E18:F18"/>
    <mergeCell ref="E43:F43"/>
    <mergeCell ref="E32:F32"/>
    <mergeCell ref="E33:F33"/>
    <mergeCell ref="E40:F40"/>
    <mergeCell ref="E41:F41"/>
    <mergeCell ref="E42:F42"/>
  </mergeCells>
  <pageMargins left="0.51181102362204722" right="0.51181102362204722" top="0.78740157480314965" bottom="0.78740157480314965" header="0.31496062992125984" footer="0.31496062992125984"/>
  <pageSetup paperSize="9" scale="65" fitToHeight="2" orientation="landscape" verticalDpi="300" r:id="rId1"/>
  <rowBreaks count="1" manualBreakCount="1">
    <brk id="54" min="1" max="20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AN389"/>
  <sheetViews>
    <sheetView showGridLines="0" view="pageBreakPreview" zoomScaleNormal="100" zoomScaleSheetLayoutView="100" workbookViewId="0"/>
  </sheetViews>
  <sheetFormatPr defaultRowHeight="12.75" outlineLevelRow="1"/>
  <cols>
    <col min="1" max="1" width="1.140625" style="2" customWidth="1"/>
    <col min="2" max="2" width="2.42578125" style="2" customWidth="1"/>
    <col min="3" max="3" width="2.7109375" style="2" customWidth="1"/>
    <col min="4" max="4" width="22.7109375" style="2" customWidth="1"/>
    <col min="5" max="5" width="13.28515625" style="83" customWidth="1"/>
    <col min="6" max="20" width="8.85546875" style="83" bestFit="1" customWidth="1"/>
    <col min="21" max="21" width="12.140625" style="2" bestFit="1" customWidth="1"/>
    <col min="22" max="23" width="9.140625" style="2"/>
    <col min="24" max="24" width="24.85546875" style="2" bestFit="1" customWidth="1"/>
    <col min="25" max="16384" width="9.140625" style="2"/>
  </cols>
  <sheetData>
    <row r="1" spans="1:21">
      <c r="B1" s="1"/>
      <c r="C1" s="1"/>
      <c r="D1" s="1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1:21" ht="15">
      <c r="B2" s="1"/>
      <c r="C2" s="1"/>
      <c r="D2" s="1"/>
      <c r="E2" s="403" t="s">
        <v>365</v>
      </c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</row>
    <row r="3" spans="1:21" ht="15">
      <c r="B3" s="1"/>
      <c r="C3" s="1"/>
      <c r="D3" s="1"/>
      <c r="E3" s="403" t="str">
        <f>MENU!$B$3&amp;"  -  "&amp;+MENU!$B$4</f>
        <v xml:space="preserve">CONCORRÊNCIA Nº 003/18  -  </v>
      </c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</row>
    <row r="4" spans="1:21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</row>
    <row r="5" spans="1:21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37" t="str">
        <f>+MENU!$C$5</f>
        <v>DATA BASE DE CÁLCULO: MARÇO 2020</v>
      </c>
    </row>
    <row r="6" spans="1:21">
      <c r="U6" s="83"/>
    </row>
    <row r="7" spans="1:21" ht="15.75">
      <c r="B7" s="381" t="s">
        <v>85</v>
      </c>
      <c r="U7" s="83"/>
    </row>
    <row r="8" spans="1:21">
      <c r="U8" s="83"/>
    </row>
    <row r="9" spans="1:21" ht="15.75">
      <c r="B9" s="381" t="s">
        <v>100</v>
      </c>
      <c r="C9" s="4"/>
      <c r="U9" s="83"/>
    </row>
    <row r="10" spans="1:21">
      <c r="U10" s="83"/>
    </row>
    <row r="11" spans="1:21" ht="18" customHeight="1">
      <c r="C11" s="587" t="s">
        <v>101</v>
      </c>
      <c r="D11" s="588"/>
      <c r="E11" s="589"/>
      <c r="F11" s="589"/>
      <c r="G11" s="589"/>
      <c r="H11" s="589"/>
      <c r="I11" s="589"/>
      <c r="J11" s="589"/>
      <c r="K11" s="589"/>
      <c r="L11" s="589"/>
      <c r="M11" s="589"/>
      <c r="N11" s="589"/>
      <c r="O11" s="589"/>
      <c r="P11" s="589"/>
      <c r="Q11" s="589"/>
      <c r="R11" s="589"/>
      <c r="S11" s="589"/>
      <c r="T11" s="589"/>
      <c r="U11" s="589"/>
    </row>
    <row r="12" spans="1:21">
      <c r="C12" s="4"/>
      <c r="U12" s="83"/>
    </row>
    <row r="13" spans="1:21" ht="15.75">
      <c r="A13" s="2">
        <v>1</v>
      </c>
      <c r="C13" s="718" t="str">
        <f>"7.1.1.1 - "&amp;VLOOKUP(A13,TIPOLOGIA!$D$10:$E$12,2,0)</f>
        <v>7.1.1.1 - MICROÔNIBUS</v>
      </c>
      <c r="D13" s="718"/>
      <c r="E13" s="718"/>
      <c r="F13" s="718"/>
    </row>
    <row r="14" spans="1:21" ht="18" customHeight="1">
      <c r="C14" s="705" t="s">
        <v>86</v>
      </c>
      <c r="D14" s="719"/>
      <c r="E14" s="105" t="s">
        <v>99</v>
      </c>
      <c r="F14" s="106">
        <v>1</v>
      </c>
      <c r="G14" s="106">
        <f t="shared" ref="G14:T14" si="0">+F14+1</f>
        <v>2</v>
      </c>
      <c r="H14" s="106">
        <f t="shared" si="0"/>
        <v>3</v>
      </c>
      <c r="I14" s="106">
        <f t="shared" si="0"/>
        <v>4</v>
      </c>
      <c r="J14" s="106">
        <f t="shared" si="0"/>
        <v>5</v>
      </c>
      <c r="K14" s="106">
        <f t="shared" si="0"/>
        <v>6</v>
      </c>
      <c r="L14" s="106">
        <f t="shared" si="0"/>
        <v>7</v>
      </c>
      <c r="M14" s="106">
        <f t="shared" si="0"/>
        <v>8</v>
      </c>
      <c r="N14" s="106">
        <f t="shared" si="0"/>
        <v>9</v>
      </c>
      <c r="O14" s="106">
        <f t="shared" si="0"/>
        <v>10</v>
      </c>
      <c r="P14" s="106">
        <f t="shared" si="0"/>
        <v>11</v>
      </c>
      <c r="Q14" s="106">
        <f t="shared" si="0"/>
        <v>12</v>
      </c>
      <c r="R14" s="106">
        <f t="shared" si="0"/>
        <v>13</v>
      </c>
      <c r="S14" s="106">
        <f t="shared" si="0"/>
        <v>14</v>
      </c>
      <c r="T14" s="107">
        <f t="shared" si="0"/>
        <v>15</v>
      </c>
    </row>
    <row r="15" spans="1:21">
      <c r="C15" s="110">
        <v>0</v>
      </c>
      <c r="D15" s="108" t="s">
        <v>87</v>
      </c>
      <c r="E15" s="615"/>
      <c r="F15" s="615"/>
      <c r="G15" s="615"/>
      <c r="H15" s="615"/>
      <c r="I15" s="615"/>
      <c r="J15" s="615">
        <v>4</v>
      </c>
      <c r="K15" s="615"/>
      <c r="L15" s="615"/>
      <c r="M15" s="615"/>
      <c r="N15" s="615"/>
      <c r="O15" s="615"/>
      <c r="P15" s="615"/>
      <c r="Q15" s="615"/>
      <c r="R15" s="615">
        <v>4</v>
      </c>
      <c r="S15" s="615"/>
      <c r="T15" s="616"/>
    </row>
    <row r="16" spans="1:21">
      <c r="C16" s="110">
        <v>1</v>
      </c>
      <c r="D16" s="108" t="s">
        <v>89</v>
      </c>
      <c r="E16" s="615"/>
      <c r="F16" s="615"/>
      <c r="G16" s="615"/>
      <c r="H16" s="615"/>
      <c r="I16" s="615"/>
      <c r="J16" s="615"/>
      <c r="K16" s="615"/>
      <c r="L16" s="615"/>
      <c r="M16" s="615"/>
      <c r="N16" s="615"/>
      <c r="O16" s="615"/>
      <c r="P16" s="615"/>
      <c r="Q16" s="615"/>
      <c r="R16" s="615"/>
      <c r="S16" s="615"/>
      <c r="T16" s="616"/>
    </row>
    <row r="17" spans="1:20">
      <c r="C17" s="110">
        <v>2</v>
      </c>
      <c r="D17" s="108" t="s">
        <v>90</v>
      </c>
      <c r="E17" s="615"/>
      <c r="F17" s="615"/>
      <c r="G17" s="615"/>
      <c r="H17" s="615"/>
      <c r="I17" s="615"/>
      <c r="J17" s="615"/>
      <c r="K17" s="615"/>
      <c r="L17" s="615"/>
      <c r="M17" s="615"/>
      <c r="N17" s="615"/>
      <c r="O17" s="615"/>
      <c r="P17" s="615"/>
      <c r="Q17" s="615"/>
      <c r="R17" s="615"/>
      <c r="S17" s="615"/>
      <c r="T17" s="616"/>
    </row>
    <row r="18" spans="1:20">
      <c r="C18" s="110">
        <v>3</v>
      </c>
      <c r="D18" s="108" t="s">
        <v>91</v>
      </c>
      <c r="E18" s="615"/>
      <c r="F18" s="615"/>
      <c r="G18" s="615"/>
      <c r="H18" s="615"/>
      <c r="I18" s="615"/>
      <c r="J18" s="615"/>
      <c r="K18" s="615"/>
      <c r="L18" s="615"/>
      <c r="M18" s="615"/>
      <c r="N18" s="615"/>
      <c r="O18" s="615"/>
      <c r="P18" s="615"/>
      <c r="Q18" s="615"/>
      <c r="R18" s="615"/>
      <c r="S18" s="615"/>
      <c r="T18" s="616"/>
    </row>
    <row r="19" spans="1:20">
      <c r="C19" s="110">
        <v>4</v>
      </c>
      <c r="D19" s="108" t="s">
        <v>92</v>
      </c>
      <c r="E19" s="615"/>
      <c r="F19" s="615"/>
      <c r="G19" s="615"/>
      <c r="H19" s="615"/>
      <c r="I19" s="615"/>
      <c r="J19" s="615"/>
      <c r="K19" s="615"/>
      <c r="L19" s="615"/>
      <c r="M19" s="615"/>
      <c r="N19" s="615"/>
      <c r="O19" s="615"/>
      <c r="P19" s="615"/>
      <c r="Q19" s="615"/>
      <c r="R19" s="615"/>
      <c r="S19" s="615"/>
      <c r="T19" s="616"/>
    </row>
    <row r="20" spans="1:20">
      <c r="C20" s="110">
        <v>5</v>
      </c>
      <c r="D20" s="108" t="s">
        <v>93</v>
      </c>
      <c r="E20" s="615">
        <v>4</v>
      </c>
      <c r="F20" s="615"/>
      <c r="G20" s="615"/>
      <c r="H20" s="615"/>
      <c r="I20" s="615"/>
      <c r="J20" s="615"/>
      <c r="K20" s="615"/>
      <c r="L20" s="615"/>
      <c r="M20" s="615"/>
      <c r="N20" s="615"/>
      <c r="O20" s="615"/>
      <c r="P20" s="615"/>
      <c r="Q20" s="615"/>
      <c r="R20" s="615"/>
      <c r="S20" s="615"/>
      <c r="T20" s="616"/>
    </row>
    <row r="21" spans="1:20">
      <c r="C21" s="110">
        <v>6</v>
      </c>
      <c r="D21" s="108" t="s">
        <v>94</v>
      </c>
      <c r="E21" s="615"/>
      <c r="F21" s="615"/>
      <c r="G21" s="615"/>
      <c r="H21" s="615"/>
      <c r="I21" s="615"/>
      <c r="J21" s="615"/>
      <c r="K21" s="615"/>
      <c r="L21" s="615"/>
      <c r="M21" s="615"/>
      <c r="N21" s="615"/>
      <c r="O21" s="615"/>
      <c r="P21" s="615"/>
      <c r="Q21" s="615"/>
      <c r="R21" s="615"/>
      <c r="S21" s="615"/>
      <c r="T21" s="616"/>
    </row>
    <row r="22" spans="1:20">
      <c r="C22" s="110">
        <v>7</v>
      </c>
      <c r="D22" s="108" t="s">
        <v>95</v>
      </c>
      <c r="E22" s="615"/>
      <c r="F22" s="615"/>
      <c r="G22" s="615"/>
      <c r="H22" s="615"/>
      <c r="I22" s="615"/>
      <c r="J22" s="615"/>
      <c r="K22" s="615"/>
      <c r="L22" s="615"/>
      <c r="M22" s="615"/>
      <c r="N22" s="615"/>
      <c r="O22" s="615"/>
      <c r="P22" s="615"/>
      <c r="Q22" s="615"/>
      <c r="R22" s="615"/>
      <c r="S22" s="615"/>
      <c r="T22" s="616"/>
    </row>
    <row r="23" spans="1:20">
      <c r="C23" s="110">
        <v>8</v>
      </c>
      <c r="D23" s="108" t="s">
        <v>96</v>
      </c>
      <c r="E23" s="615"/>
      <c r="F23" s="615"/>
      <c r="G23" s="615"/>
      <c r="H23" s="615"/>
      <c r="I23" s="615"/>
      <c r="J23" s="615"/>
      <c r="K23" s="615"/>
      <c r="L23" s="615"/>
      <c r="M23" s="615"/>
      <c r="N23" s="615"/>
      <c r="O23" s="615"/>
      <c r="P23" s="615"/>
      <c r="Q23" s="615"/>
      <c r="R23" s="615"/>
      <c r="S23" s="615"/>
      <c r="T23" s="616"/>
    </row>
    <row r="24" spans="1:20">
      <c r="C24" s="110">
        <v>9</v>
      </c>
      <c r="D24" s="108" t="s">
        <v>97</v>
      </c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30"/>
    </row>
    <row r="25" spans="1:20">
      <c r="C25" s="110">
        <v>10</v>
      </c>
      <c r="D25" s="109" t="s">
        <v>98</v>
      </c>
      <c r="E25" s="129"/>
      <c r="F25" s="129"/>
      <c r="G25" s="129"/>
      <c r="H25" s="129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30"/>
    </row>
    <row r="26" spans="1:20" s="4" customFormat="1">
      <c r="C26" s="111" t="s">
        <v>88</v>
      </c>
      <c r="D26" s="112"/>
      <c r="E26" s="117">
        <f>SUM(E15:E25)</f>
        <v>4</v>
      </c>
      <c r="F26" s="117">
        <f t="shared" ref="F26:T26" si="1">SUM(F15:F25)</f>
        <v>0</v>
      </c>
      <c r="G26" s="117">
        <f t="shared" si="1"/>
        <v>0</v>
      </c>
      <c r="H26" s="117">
        <f t="shared" si="1"/>
        <v>0</v>
      </c>
      <c r="I26" s="117">
        <f t="shared" si="1"/>
        <v>0</v>
      </c>
      <c r="J26" s="117">
        <f t="shared" si="1"/>
        <v>4</v>
      </c>
      <c r="K26" s="117">
        <f t="shared" si="1"/>
        <v>0</v>
      </c>
      <c r="L26" s="117">
        <f t="shared" si="1"/>
        <v>0</v>
      </c>
      <c r="M26" s="117">
        <f t="shared" si="1"/>
        <v>0</v>
      </c>
      <c r="N26" s="117">
        <f t="shared" si="1"/>
        <v>0</v>
      </c>
      <c r="O26" s="117">
        <f t="shared" si="1"/>
        <v>0</v>
      </c>
      <c r="P26" s="117">
        <f t="shared" si="1"/>
        <v>0</v>
      </c>
      <c r="Q26" s="117">
        <f t="shared" si="1"/>
        <v>0</v>
      </c>
      <c r="R26" s="117">
        <f t="shared" si="1"/>
        <v>4</v>
      </c>
      <c r="S26" s="117">
        <f t="shared" si="1"/>
        <v>0</v>
      </c>
      <c r="T26" s="118">
        <f t="shared" si="1"/>
        <v>0</v>
      </c>
    </row>
    <row r="27" spans="1:20" s="4" customFormat="1">
      <c r="C27" s="111" t="str">
        <f>"Idade Média - "&amp;VLOOKUP(A13,TIPOLOGIA!$D$10:$E$12,2,0)</f>
        <v>Idade Média - MICROÔNIBUS</v>
      </c>
      <c r="D27" s="112"/>
      <c r="E27" s="124">
        <f>IFERROR(SUMPRODUCT($C15:$C25,E15:E25)/E26,"-")</f>
        <v>5</v>
      </c>
      <c r="F27" s="124" t="str">
        <f t="shared" ref="F27:T27" si="2">IFERROR(SUMPRODUCT($C15:$C25,F15:F25)/F26,"-")</f>
        <v>-</v>
      </c>
      <c r="G27" s="124" t="str">
        <f t="shared" si="2"/>
        <v>-</v>
      </c>
      <c r="H27" s="124" t="str">
        <f t="shared" si="2"/>
        <v>-</v>
      </c>
      <c r="I27" s="124" t="str">
        <f t="shared" si="2"/>
        <v>-</v>
      </c>
      <c r="J27" s="124">
        <f t="shared" si="2"/>
        <v>0</v>
      </c>
      <c r="K27" s="124" t="str">
        <f t="shared" si="2"/>
        <v>-</v>
      </c>
      <c r="L27" s="124" t="str">
        <f t="shared" si="2"/>
        <v>-</v>
      </c>
      <c r="M27" s="124" t="str">
        <f t="shared" si="2"/>
        <v>-</v>
      </c>
      <c r="N27" s="124" t="str">
        <f t="shared" si="2"/>
        <v>-</v>
      </c>
      <c r="O27" s="124" t="str">
        <f t="shared" si="2"/>
        <v>-</v>
      </c>
      <c r="P27" s="124" t="str">
        <f t="shared" si="2"/>
        <v>-</v>
      </c>
      <c r="Q27" s="124" t="str">
        <f t="shared" si="2"/>
        <v>-</v>
      </c>
      <c r="R27" s="124">
        <f t="shared" si="2"/>
        <v>0</v>
      </c>
      <c r="S27" s="124" t="str">
        <f t="shared" si="2"/>
        <v>-</v>
      </c>
      <c r="T27" s="160" t="str">
        <f t="shared" si="2"/>
        <v>-</v>
      </c>
    </row>
    <row r="29" spans="1:20" ht="15.75">
      <c r="A29" s="2">
        <v>2</v>
      </c>
      <c r="C29" s="718" t="str">
        <f>"7.1.1.2 - "&amp;VLOOKUP(A29,TIPOLOGIA!$D$10:$E$12,2,0)</f>
        <v>7.1.1.2 - CONVENCIONAL</v>
      </c>
      <c r="D29" s="718"/>
      <c r="E29" s="718"/>
      <c r="F29" s="718"/>
    </row>
    <row r="30" spans="1:20" ht="18" customHeight="1">
      <c r="C30" s="705" t="s">
        <v>86</v>
      </c>
      <c r="D30" s="719"/>
      <c r="E30" s="105" t="s">
        <v>99</v>
      </c>
      <c r="F30" s="106">
        <v>1</v>
      </c>
      <c r="G30" s="106">
        <f t="shared" ref="G30:T30" si="3">+F30+1</f>
        <v>2</v>
      </c>
      <c r="H30" s="106">
        <f t="shared" si="3"/>
        <v>3</v>
      </c>
      <c r="I30" s="106">
        <f t="shared" si="3"/>
        <v>4</v>
      </c>
      <c r="J30" s="106">
        <f t="shared" si="3"/>
        <v>5</v>
      </c>
      <c r="K30" s="106">
        <f t="shared" si="3"/>
        <v>6</v>
      </c>
      <c r="L30" s="106">
        <f t="shared" si="3"/>
        <v>7</v>
      </c>
      <c r="M30" s="106">
        <f t="shared" si="3"/>
        <v>8</v>
      </c>
      <c r="N30" s="106">
        <f t="shared" si="3"/>
        <v>9</v>
      </c>
      <c r="O30" s="106">
        <f t="shared" si="3"/>
        <v>10</v>
      </c>
      <c r="P30" s="106">
        <f t="shared" si="3"/>
        <v>11</v>
      </c>
      <c r="Q30" s="106">
        <f t="shared" si="3"/>
        <v>12</v>
      </c>
      <c r="R30" s="106">
        <f t="shared" si="3"/>
        <v>13</v>
      </c>
      <c r="S30" s="106">
        <f t="shared" si="3"/>
        <v>14</v>
      </c>
      <c r="T30" s="107">
        <f t="shared" si="3"/>
        <v>15</v>
      </c>
    </row>
    <row r="31" spans="1:20">
      <c r="C31" s="110">
        <v>0</v>
      </c>
      <c r="D31" s="108" t="s">
        <v>87</v>
      </c>
      <c r="E31" s="615"/>
      <c r="F31" s="615"/>
      <c r="G31" s="615">
        <v>3</v>
      </c>
      <c r="H31" s="615">
        <v>2</v>
      </c>
      <c r="I31" s="615">
        <v>2</v>
      </c>
      <c r="J31" s="615">
        <v>3</v>
      </c>
      <c r="K31" s="615"/>
      <c r="L31" s="615"/>
      <c r="M31" s="615"/>
      <c r="N31" s="615">
        <v>1</v>
      </c>
      <c r="O31" s="615">
        <v>1</v>
      </c>
      <c r="P31" s="615">
        <v>3</v>
      </c>
      <c r="Q31" s="615">
        <v>2</v>
      </c>
      <c r="R31" s="615">
        <v>3</v>
      </c>
      <c r="S31" s="615"/>
      <c r="T31" s="616"/>
    </row>
    <row r="32" spans="1:20">
      <c r="C32" s="110">
        <v>1</v>
      </c>
      <c r="D32" s="108" t="s">
        <v>89</v>
      </c>
      <c r="E32" s="615"/>
      <c r="F32" s="615"/>
      <c r="G32" s="615"/>
      <c r="H32" s="615"/>
      <c r="I32" s="615"/>
      <c r="J32" s="615"/>
      <c r="K32" s="615"/>
      <c r="L32" s="615"/>
      <c r="M32" s="615"/>
      <c r="N32" s="615"/>
      <c r="O32" s="615"/>
      <c r="P32" s="615"/>
      <c r="Q32" s="615"/>
      <c r="R32" s="615"/>
      <c r="S32" s="615"/>
      <c r="T32" s="616"/>
    </row>
    <row r="33" spans="1:20">
      <c r="C33" s="110">
        <v>2</v>
      </c>
      <c r="D33" s="108" t="s">
        <v>90</v>
      </c>
      <c r="E33" s="615"/>
      <c r="F33" s="615"/>
      <c r="G33" s="615"/>
      <c r="H33" s="615"/>
      <c r="I33" s="615"/>
      <c r="J33" s="615"/>
      <c r="K33" s="615"/>
      <c r="L33" s="615"/>
      <c r="M33" s="615"/>
      <c r="N33" s="615"/>
      <c r="O33" s="615"/>
      <c r="P33" s="615"/>
      <c r="Q33" s="615"/>
      <c r="R33" s="615"/>
      <c r="S33" s="615"/>
      <c r="T33" s="616"/>
    </row>
    <row r="34" spans="1:20">
      <c r="C34" s="110">
        <v>3</v>
      </c>
      <c r="D34" s="108" t="s">
        <v>91</v>
      </c>
      <c r="E34" s="615"/>
      <c r="F34" s="615"/>
      <c r="G34" s="615"/>
      <c r="H34" s="615"/>
      <c r="I34" s="615"/>
      <c r="J34" s="615"/>
      <c r="K34" s="615"/>
      <c r="L34" s="615"/>
      <c r="M34" s="615"/>
      <c r="N34" s="615"/>
      <c r="O34" s="615"/>
      <c r="P34" s="615"/>
      <c r="Q34" s="615"/>
      <c r="R34" s="615"/>
      <c r="S34" s="615"/>
      <c r="T34" s="616"/>
    </row>
    <row r="35" spans="1:20">
      <c r="C35" s="110">
        <v>4</v>
      </c>
      <c r="D35" s="108" t="s">
        <v>92</v>
      </c>
      <c r="E35" s="615"/>
      <c r="F35" s="615"/>
      <c r="G35" s="615"/>
      <c r="H35" s="615"/>
      <c r="I35" s="615"/>
      <c r="J35" s="615"/>
      <c r="K35" s="615"/>
      <c r="L35" s="615"/>
      <c r="M35" s="615"/>
      <c r="N35" s="615"/>
      <c r="O35" s="615"/>
      <c r="P35" s="615"/>
      <c r="Q35" s="615"/>
      <c r="R35" s="615"/>
      <c r="S35" s="615"/>
      <c r="T35" s="616"/>
    </row>
    <row r="36" spans="1:20">
      <c r="C36" s="110">
        <v>5</v>
      </c>
      <c r="D36" s="108" t="s">
        <v>93</v>
      </c>
      <c r="E36" s="615">
        <v>10</v>
      </c>
      <c r="F36" s="615"/>
      <c r="G36" s="615"/>
      <c r="H36" s="615"/>
      <c r="I36" s="615"/>
      <c r="J36" s="615"/>
      <c r="K36" s="615"/>
      <c r="L36" s="615"/>
      <c r="M36" s="615"/>
      <c r="N36" s="615"/>
      <c r="O36" s="615"/>
      <c r="P36" s="615"/>
      <c r="Q36" s="615"/>
      <c r="R36" s="615"/>
      <c r="S36" s="615"/>
      <c r="T36" s="616"/>
    </row>
    <row r="37" spans="1:20">
      <c r="C37" s="110">
        <v>6</v>
      </c>
      <c r="D37" s="108" t="s">
        <v>94</v>
      </c>
      <c r="E37" s="615"/>
      <c r="F37" s="615"/>
      <c r="G37" s="615"/>
      <c r="H37" s="615"/>
      <c r="I37" s="615"/>
      <c r="J37" s="615"/>
      <c r="K37" s="615"/>
      <c r="L37" s="615"/>
      <c r="M37" s="615"/>
      <c r="N37" s="615"/>
      <c r="O37" s="615"/>
      <c r="P37" s="615"/>
      <c r="Q37" s="615"/>
      <c r="R37" s="615"/>
      <c r="S37" s="615"/>
      <c r="T37" s="616"/>
    </row>
    <row r="38" spans="1:20">
      <c r="C38" s="110">
        <v>7</v>
      </c>
      <c r="D38" s="108" t="s">
        <v>95</v>
      </c>
      <c r="E38" s="615"/>
      <c r="F38" s="615"/>
      <c r="G38" s="615"/>
      <c r="H38" s="615"/>
      <c r="I38" s="615"/>
      <c r="J38" s="615"/>
      <c r="K38" s="615"/>
      <c r="L38" s="615"/>
      <c r="M38" s="615"/>
      <c r="N38" s="615"/>
      <c r="O38" s="615"/>
      <c r="P38" s="615"/>
      <c r="Q38" s="615"/>
      <c r="R38" s="615"/>
      <c r="S38" s="615"/>
      <c r="T38" s="616"/>
    </row>
    <row r="39" spans="1:20">
      <c r="C39" s="110">
        <v>8</v>
      </c>
      <c r="D39" s="108" t="s">
        <v>96</v>
      </c>
      <c r="E39" s="615"/>
      <c r="F39" s="615"/>
      <c r="G39" s="615"/>
      <c r="H39" s="615"/>
      <c r="I39" s="615"/>
      <c r="J39" s="615"/>
      <c r="K39" s="615"/>
      <c r="L39" s="615"/>
      <c r="M39" s="615"/>
      <c r="N39" s="615"/>
      <c r="O39" s="615"/>
      <c r="P39" s="615"/>
      <c r="Q39" s="615"/>
      <c r="R39" s="615"/>
      <c r="S39" s="615"/>
      <c r="T39" s="616"/>
    </row>
    <row r="40" spans="1:20">
      <c r="C40" s="110">
        <v>9</v>
      </c>
      <c r="D40" s="108" t="s">
        <v>97</v>
      </c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30"/>
    </row>
    <row r="41" spans="1:20">
      <c r="C41" s="110">
        <v>10</v>
      </c>
      <c r="D41" s="109" t="s">
        <v>98</v>
      </c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30"/>
    </row>
    <row r="42" spans="1:20" s="4" customFormat="1">
      <c r="C42" s="111" t="s">
        <v>88</v>
      </c>
      <c r="D42" s="112"/>
      <c r="E42" s="117">
        <f t="shared" ref="E42:T42" si="4">SUM(E31:E41)</f>
        <v>10</v>
      </c>
      <c r="F42" s="117">
        <f t="shared" si="4"/>
        <v>0</v>
      </c>
      <c r="G42" s="117">
        <f t="shared" si="4"/>
        <v>3</v>
      </c>
      <c r="H42" s="117">
        <f t="shared" si="4"/>
        <v>2</v>
      </c>
      <c r="I42" s="117">
        <f t="shared" si="4"/>
        <v>2</v>
      </c>
      <c r="J42" s="117">
        <f t="shared" si="4"/>
        <v>3</v>
      </c>
      <c r="K42" s="117">
        <f t="shared" si="4"/>
        <v>0</v>
      </c>
      <c r="L42" s="117">
        <f t="shared" si="4"/>
        <v>0</v>
      </c>
      <c r="M42" s="117">
        <f t="shared" si="4"/>
        <v>0</v>
      </c>
      <c r="N42" s="117">
        <f t="shared" si="4"/>
        <v>1</v>
      </c>
      <c r="O42" s="117">
        <f t="shared" si="4"/>
        <v>1</v>
      </c>
      <c r="P42" s="117">
        <f t="shared" si="4"/>
        <v>3</v>
      </c>
      <c r="Q42" s="117">
        <f t="shared" si="4"/>
        <v>2</v>
      </c>
      <c r="R42" s="117">
        <f t="shared" si="4"/>
        <v>3</v>
      </c>
      <c r="S42" s="117">
        <f t="shared" si="4"/>
        <v>0</v>
      </c>
      <c r="T42" s="118">
        <f t="shared" si="4"/>
        <v>0</v>
      </c>
    </row>
    <row r="43" spans="1:20" s="4" customFormat="1">
      <c r="C43" s="111" t="str">
        <f>"Idade Média - "&amp;VLOOKUP(A29,TIPOLOGIA!$D$10:$E$12,2,0)</f>
        <v>Idade Média - CONVENCIONAL</v>
      </c>
      <c r="D43" s="112"/>
      <c r="E43" s="124">
        <f t="shared" ref="E43:T43" si="5">IFERROR(SUMPRODUCT($C31:$C41,E31:E41)/E42,"-")</f>
        <v>5</v>
      </c>
      <c r="F43" s="124" t="str">
        <f t="shared" si="5"/>
        <v>-</v>
      </c>
      <c r="G43" s="124">
        <f t="shared" si="5"/>
        <v>0</v>
      </c>
      <c r="H43" s="124">
        <f t="shared" si="5"/>
        <v>0</v>
      </c>
      <c r="I43" s="124">
        <f t="shared" si="5"/>
        <v>0</v>
      </c>
      <c r="J43" s="124">
        <f t="shared" si="5"/>
        <v>0</v>
      </c>
      <c r="K43" s="124" t="str">
        <f t="shared" si="5"/>
        <v>-</v>
      </c>
      <c r="L43" s="124" t="str">
        <f t="shared" si="5"/>
        <v>-</v>
      </c>
      <c r="M43" s="124" t="str">
        <f t="shared" si="5"/>
        <v>-</v>
      </c>
      <c r="N43" s="124">
        <f t="shared" si="5"/>
        <v>0</v>
      </c>
      <c r="O43" s="124">
        <f t="shared" si="5"/>
        <v>0</v>
      </c>
      <c r="P43" s="124">
        <f t="shared" si="5"/>
        <v>0</v>
      </c>
      <c r="Q43" s="124">
        <f t="shared" si="5"/>
        <v>0</v>
      </c>
      <c r="R43" s="124">
        <f t="shared" si="5"/>
        <v>0</v>
      </c>
      <c r="S43" s="124" t="str">
        <f t="shared" si="5"/>
        <v>-</v>
      </c>
      <c r="T43" s="160" t="str">
        <f t="shared" si="5"/>
        <v>-</v>
      </c>
    </row>
    <row r="45" spans="1:20" ht="15.75">
      <c r="A45" s="2">
        <v>3</v>
      </c>
      <c r="C45" s="718" t="str">
        <f>"7.1.1.3 - "&amp;VLOOKUP(A45,TIPOLOGIA!$D$10:$E$12,2,0)</f>
        <v>7.1.1.3 - -</v>
      </c>
      <c r="D45" s="718"/>
      <c r="E45" s="718"/>
      <c r="F45" s="718"/>
    </row>
    <row r="46" spans="1:20" ht="18" customHeight="1">
      <c r="C46" s="705" t="s">
        <v>86</v>
      </c>
      <c r="D46" s="719"/>
      <c r="E46" s="105" t="s">
        <v>99</v>
      </c>
      <c r="F46" s="106">
        <v>1</v>
      </c>
      <c r="G46" s="106">
        <f t="shared" ref="G46:T46" si="6">+F46+1</f>
        <v>2</v>
      </c>
      <c r="H46" s="106">
        <f t="shared" si="6"/>
        <v>3</v>
      </c>
      <c r="I46" s="106">
        <f t="shared" si="6"/>
        <v>4</v>
      </c>
      <c r="J46" s="106">
        <f t="shared" si="6"/>
        <v>5</v>
      </c>
      <c r="K46" s="106">
        <f t="shared" si="6"/>
        <v>6</v>
      </c>
      <c r="L46" s="106">
        <f t="shared" si="6"/>
        <v>7</v>
      </c>
      <c r="M46" s="106">
        <f t="shared" si="6"/>
        <v>8</v>
      </c>
      <c r="N46" s="106">
        <f t="shared" si="6"/>
        <v>9</v>
      </c>
      <c r="O46" s="106">
        <f t="shared" si="6"/>
        <v>10</v>
      </c>
      <c r="P46" s="106">
        <f t="shared" si="6"/>
        <v>11</v>
      </c>
      <c r="Q46" s="106">
        <f t="shared" si="6"/>
        <v>12</v>
      </c>
      <c r="R46" s="106">
        <f t="shared" si="6"/>
        <v>13</v>
      </c>
      <c r="S46" s="106">
        <f t="shared" si="6"/>
        <v>14</v>
      </c>
      <c r="T46" s="107">
        <f t="shared" si="6"/>
        <v>15</v>
      </c>
    </row>
    <row r="47" spans="1:20">
      <c r="C47" s="110">
        <v>0</v>
      </c>
      <c r="D47" s="108" t="s">
        <v>87</v>
      </c>
      <c r="E47" s="615"/>
      <c r="F47" s="615"/>
      <c r="G47" s="615"/>
      <c r="H47" s="615"/>
      <c r="I47" s="615"/>
      <c r="J47" s="615"/>
      <c r="K47" s="615"/>
      <c r="L47" s="615"/>
      <c r="M47" s="615"/>
      <c r="N47" s="615"/>
      <c r="O47" s="615"/>
      <c r="P47" s="615"/>
      <c r="Q47" s="615"/>
      <c r="R47" s="615"/>
      <c r="S47" s="615"/>
      <c r="T47" s="616"/>
    </row>
    <row r="48" spans="1:20">
      <c r="C48" s="110">
        <v>1</v>
      </c>
      <c r="D48" s="108" t="s">
        <v>89</v>
      </c>
      <c r="E48" s="615"/>
      <c r="F48" s="615"/>
      <c r="G48" s="615"/>
      <c r="H48" s="615"/>
      <c r="I48" s="615"/>
      <c r="J48" s="615"/>
      <c r="K48" s="615"/>
      <c r="L48" s="615"/>
      <c r="M48" s="615"/>
      <c r="N48" s="615"/>
      <c r="O48" s="615"/>
      <c r="P48" s="615"/>
      <c r="Q48" s="615"/>
      <c r="R48" s="615"/>
      <c r="S48" s="615"/>
      <c r="T48" s="616"/>
    </row>
    <row r="49" spans="1:21">
      <c r="C49" s="110">
        <v>2</v>
      </c>
      <c r="D49" s="108" t="s">
        <v>90</v>
      </c>
      <c r="E49" s="615"/>
      <c r="F49" s="615"/>
      <c r="G49" s="615"/>
      <c r="H49" s="615"/>
      <c r="I49" s="615"/>
      <c r="J49" s="615"/>
      <c r="K49" s="615"/>
      <c r="L49" s="615"/>
      <c r="M49" s="615"/>
      <c r="N49" s="615"/>
      <c r="O49" s="615"/>
      <c r="P49" s="615"/>
      <c r="Q49" s="615"/>
      <c r="R49" s="615"/>
      <c r="S49" s="615"/>
      <c r="T49" s="616"/>
    </row>
    <row r="50" spans="1:21">
      <c r="C50" s="110">
        <v>3</v>
      </c>
      <c r="D50" s="108" t="s">
        <v>91</v>
      </c>
      <c r="E50" s="615"/>
      <c r="F50" s="615"/>
      <c r="G50" s="615"/>
      <c r="H50" s="615"/>
      <c r="I50" s="615"/>
      <c r="J50" s="615"/>
      <c r="K50" s="615"/>
      <c r="L50" s="615"/>
      <c r="M50" s="615"/>
      <c r="N50" s="615"/>
      <c r="O50" s="615"/>
      <c r="P50" s="615"/>
      <c r="Q50" s="615"/>
      <c r="R50" s="615"/>
      <c r="S50" s="615"/>
      <c r="T50" s="616"/>
    </row>
    <row r="51" spans="1:21">
      <c r="C51" s="110">
        <v>4</v>
      </c>
      <c r="D51" s="108" t="s">
        <v>92</v>
      </c>
      <c r="E51" s="615"/>
      <c r="F51" s="615"/>
      <c r="G51" s="615"/>
      <c r="H51" s="615"/>
      <c r="I51" s="615"/>
      <c r="J51" s="615"/>
      <c r="K51" s="615"/>
      <c r="L51" s="615"/>
      <c r="M51" s="615"/>
      <c r="N51" s="615"/>
      <c r="O51" s="615"/>
      <c r="P51" s="615"/>
      <c r="Q51" s="615"/>
      <c r="R51" s="615"/>
      <c r="S51" s="615"/>
      <c r="T51" s="616"/>
    </row>
    <row r="52" spans="1:21">
      <c r="C52" s="110">
        <v>5</v>
      </c>
      <c r="D52" s="108" t="s">
        <v>93</v>
      </c>
      <c r="E52" s="615"/>
      <c r="F52" s="615"/>
      <c r="G52" s="615"/>
      <c r="H52" s="615"/>
      <c r="I52" s="615"/>
      <c r="J52" s="615"/>
      <c r="K52" s="615"/>
      <c r="L52" s="615"/>
      <c r="M52" s="615"/>
      <c r="N52" s="615"/>
      <c r="O52" s="615"/>
      <c r="P52" s="615"/>
      <c r="Q52" s="615"/>
      <c r="R52" s="615"/>
      <c r="S52" s="615"/>
      <c r="T52" s="616"/>
    </row>
    <row r="53" spans="1:21">
      <c r="C53" s="110">
        <v>6</v>
      </c>
      <c r="D53" s="108" t="s">
        <v>94</v>
      </c>
      <c r="E53" s="615"/>
      <c r="F53" s="615"/>
      <c r="G53" s="615"/>
      <c r="H53" s="615"/>
      <c r="I53" s="615"/>
      <c r="J53" s="615"/>
      <c r="K53" s="615"/>
      <c r="L53" s="615"/>
      <c r="M53" s="615"/>
      <c r="N53" s="615"/>
      <c r="O53" s="615"/>
      <c r="P53" s="615"/>
      <c r="Q53" s="615"/>
      <c r="R53" s="615"/>
      <c r="S53" s="615"/>
      <c r="T53" s="616"/>
    </row>
    <row r="54" spans="1:21">
      <c r="C54" s="110">
        <v>7</v>
      </c>
      <c r="D54" s="108" t="s">
        <v>95</v>
      </c>
      <c r="E54" s="615"/>
      <c r="F54" s="615"/>
      <c r="G54" s="615"/>
      <c r="H54" s="615"/>
      <c r="I54" s="615"/>
      <c r="J54" s="615"/>
      <c r="K54" s="615"/>
      <c r="L54" s="615"/>
      <c r="M54" s="615"/>
      <c r="N54" s="615"/>
      <c r="O54" s="615"/>
      <c r="P54" s="615"/>
      <c r="Q54" s="615"/>
      <c r="R54" s="615"/>
      <c r="S54" s="615"/>
      <c r="T54" s="616"/>
    </row>
    <row r="55" spans="1:21">
      <c r="C55" s="110">
        <v>8</v>
      </c>
      <c r="D55" s="108" t="s">
        <v>96</v>
      </c>
      <c r="E55" s="615"/>
      <c r="F55" s="615"/>
      <c r="G55" s="615"/>
      <c r="H55" s="615"/>
      <c r="I55" s="615"/>
      <c r="J55" s="615"/>
      <c r="K55" s="615"/>
      <c r="L55" s="615"/>
      <c r="M55" s="615"/>
      <c r="N55" s="615"/>
      <c r="O55" s="615"/>
      <c r="P55" s="615"/>
      <c r="Q55" s="615"/>
      <c r="R55" s="615"/>
      <c r="S55" s="615"/>
      <c r="T55" s="616"/>
    </row>
    <row r="56" spans="1:21">
      <c r="C56" s="110">
        <v>9</v>
      </c>
      <c r="D56" s="108" t="s">
        <v>97</v>
      </c>
      <c r="E56" s="615"/>
      <c r="F56" s="615"/>
      <c r="G56" s="615"/>
      <c r="H56" s="615"/>
      <c r="I56" s="615"/>
      <c r="J56" s="615"/>
      <c r="K56" s="615"/>
      <c r="L56" s="615"/>
      <c r="M56" s="615"/>
      <c r="N56" s="615"/>
      <c r="O56" s="615"/>
      <c r="P56" s="615"/>
      <c r="Q56" s="615"/>
      <c r="R56" s="615"/>
      <c r="S56" s="615"/>
      <c r="T56" s="616"/>
    </row>
    <row r="57" spans="1:21">
      <c r="C57" s="110">
        <v>10</v>
      </c>
      <c r="D57" s="109" t="s">
        <v>98</v>
      </c>
      <c r="E57" s="615"/>
      <c r="F57" s="615"/>
      <c r="G57" s="615"/>
      <c r="H57" s="615"/>
      <c r="I57" s="615"/>
      <c r="J57" s="615"/>
      <c r="K57" s="615"/>
      <c r="L57" s="615"/>
      <c r="M57" s="615"/>
      <c r="N57" s="615"/>
      <c r="O57" s="615"/>
      <c r="P57" s="615"/>
      <c r="Q57" s="615"/>
      <c r="R57" s="615"/>
      <c r="S57" s="615"/>
      <c r="T57" s="616"/>
    </row>
    <row r="58" spans="1:21" s="4" customFormat="1">
      <c r="C58" s="111" t="s">
        <v>88</v>
      </c>
      <c r="D58" s="112"/>
      <c r="E58" s="117">
        <f t="shared" ref="E58:T58" si="7">SUM(E47:E57)</f>
        <v>0</v>
      </c>
      <c r="F58" s="117">
        <f t="shared" si="7"/>
        <v>0</v>
      </c>
      <c r="G58" s="117">
        <f t="shared" si="7"/>
        <v>0</v>
      </c>
      <c r="H58" s="117">
        <f t="shared" si="7"/>
        <v>0</v>
      </c>
      <c r="I58" s="117">
        <f t="shared" si="7"/>
        <v>0</v>
      </c>
      <c r="J58" s="117">
        <f t="shared" si="7"/>
        <v>0</v>
      </c>
      <c r="K58" s="117">
        <f t="shared" si="7"/>
        <v>0</v>
      </c>
      <c r="L58" s="117">
        <f t="shared" si="7"/>
        <v>0</v>
      </c>
      <c r="M58" s="117">
        <f t="shared" si="7"/>
        <v>0</v>
      </c>
      <c r="N58" s="117">
        <f t="shared" si="7"/>
        <v>0</v>
      </c>
      <c r="O58" s="117">
        <f t="shared" si="7"/>
        <v>0</v>
      </c>
      <c r="P58" s="117">
        <f t="shared" si="7"/>
        <v>0</v>
      </c>
      <c r="Q58" s="117">
        <f t="shared" si="7"/>
        <v>0</v>
      </c>
      <c r="R58" s="117">
        <f t="shared" si="7"/>
        <v>0</v>
      </c>
      <c r="S58" s="117">
        <f t="shared" si="7"/>
        <v>0</v>
      </c>
      <c r="T58" s="118">
        <f t="shared" si="7"/>
        <v>0</v>
      </c>
    </row>
    <row r="59" spans="1:21" s="4" customFormat="1">
      <c r="C59" s="111" t="str">
        <f>"Idade Média - "&amp;VLOOKUP(A45,TIPOLOGIA!$D$10:$E$12,2,0)</f>
        <v>Idade Média - -</v>
      </c>
      <c r="D59" s="112"/>
      <c r="E59" s="124" t="str">
        <f t="shared" ref="E59:T59" si="8">IFERROR(SUMPRODUCT($C47:$C57,E47:E57)/E58,"-")</f>
        <v>-</v>
      </c>
      <c r="F59" s="124" t="str">
        <f t="shared" si="8"/>
        <v>-</v>
      </c>
      <c r="G59" s="124" t="str">
        <f t="shared" si="8"/>
        <v>-</v>
      </c>
      <c r="H59" s="124" t="str">
        <f t="shared" si="8"/>
        <v>-</v>
      </c>
      <c r="I59" s="124" t="str">
        <f t="shared" si="8"/>
        <v>-</v>
      </c>
      <c r="J59" s="124" t="str">
        <f t="shared" si="8"/>
        <v>-</v>
      </c>
      <c r="K59" s="124" t="str">
        <f t="shared" si="8"/>
        <v>-</v>
      </c>
      <c r="L59" s="124" t="str">
        <f t="shared" si="8"/>
        <v>-</v>
      </c>
      <c r="M59" s="124" t="str">
        <f t="shared" si="8"/>
        <v>-</v>
      </c>
      <c r="N59" s="124" t="str">
        <f t="shared" si="8"/>
        <v>-</v>
      </c>
      <c r="O59" s="124" t="str">
        <f t="shared" si="8"/>
        <v>-</v>
      </c>
      <c r="P59" s="124" t="str">
        <f t="shared" si="8"/>
        <v>-</v>
      </c>
      <c r="Q59" s="124" t="str">
        <f t="shared" si="8"/>
        <v>-</v>
      </c>
      <c r="R59" s="124" t="str">
        <f t="shared" si="8"/>
        <v>-</v>
      </c>
      <c r="S59" s="124" t="str">
        <f t="shared" si="8"/>
        <v>-</v>
      </c>
      <c r="T59" s="160" t="str">
        <f t="shared" si="8"/>
        <v>-</v>
      </c>
    </row>
    <row r="62" spans="1:21" ht="18" customHeight="1">
      <c r="C62" s="587" t="s">
        <v>102</v>
      </c>
      <c r="D62" s="590"/>
      <c r="E62" s="589"/>
      <c r="F62" s="589"/>
      <c r="G62" s="589"/>
      <c r="H62" s="589"/>
      <c r="I62" s="589"/>
      <c r="J62" s="589"/>
      <c r="K62" s="589"/>
      <c r="L62" s="589"/>
      <c r="M62" s="589"/>
      <c r="N62" s="589"/>
      <c r="O62" s="589"/>
      <c r="P62" s="589"/>
      <c r="Q62" s="589"/>
      <c r="R62" s="589"/>
      <c r="S62" s="589"/>
      <c r="T62" s="589"/>
      <c r="U62" s="589"/>
    </row>
    <row r="63" spans="1:21">
      <c r="C63" s="4"/>
    </row>
    <row r="64" spans="1:21" ht="15.75">
      <c r="A64" s="2">
        <v>1</v>
      </c>
      <c r="C64" s="718" t="str">
        <f>"7.1.2.1 - "&amp;VLOOKUP(A64,TIPOLOGIA!$D$10:$E$12,2,0)</f>
        <v>7.1.2.1 - MICROÔNIBUS</v>
      </c>
      <c r="D64" s="718"/>
      <c r="E64" s="718"/>
      <c r="F64" s="718"/>
    </row>
    <row r="65" spans="1:21" ht="18" customHeight="1">
      <c r="C65" s="705" t="s">
        <v>86</v>
      </c>
      <c r="D65" s="719"/>
      <c r="E65" s="105" t="s">
        <v>99</v>
      </c>
      <c r="F65" s="106">
        <v>1</v>
      </c>
      <c r="G65" s="106">
        <f t="shared" ref="G65:T65" si="9">+F65+1</f>
        <v>2</v>
      </c>
      <c r="H65" s="106">
        <f t="shared" si="9"/>
        <v>3</v>
      </c>
      <c r="I65" s="106">
        <f t="shared" si="9"/>
        <v>4</v>
      </c>
      <c r="J65" s="106">
        <f t="shared" si="9"/>
        <v>5</v>
      </c>
      <c r="K65" s="106">
        <f t="shared" si="9"/>
        <v>6</v>
      </c>
      <c r="L65" s="106">
        <f t="shared" si="9"/>
        <v>7</v>
      </c>
      <c r="M65" s="106">
        <f t="shared" si="9"/>
        <v>8</v>
      </c>
      <c r="N65" s="106">
        <f t="shared" si="9"/>
        <v>9</v>
      </c>
      <c r="O65" s="106">
        <f t="shared" si="9"/>
        <v>10</v>
      </c>
      <c r="P65" s="106">
        <f t="shared" si="9"/>
        <v>11</v>
      </c>
      <c r="Q65" s="106">
        <f t="shared" si="9"/>
        <v>12</v>
      </c>
      <c r="R65" s="106">
        <f t="shared" si="9"/>
        <v>13</v>
      </c>
      <c r="S65" s="106">
        <f t="shared" si="9"/>
        <v>14</v>
      </c>
      <c r="T65" s="107">
        <f t="shared" si="9"/>
        <v>15</v>
      </c>
      <c r="U65" s="107" t="s">
        <v>222</v>
      </c>
    </row>
    <row r="66" spans="1:21">
      <c r="C66" s="110">
        <v>0</v>
      </c>
      <c r="D66" s="108" t="s">
        <v>87</v>
      </c>
      <c r="E66" s="615"/>
      <c r="F66" s="615"/>
      <c r="G66" s="615"/>
      <c r="H66" s="615"/>
      <c r="I66" s="615"/>
      <c r="J66" s="615"/>
      <c r="K66" s="615"/>
      <c r="L66" s="615"/>
      <c r="M66" s="615"/>
      <c r="N66" s="615"/>
      <c r="O66" s="615"/>
      <c r="P66" s="615"/>
      <c r="Q66" s="615"/>
      <c r="R66" s="615"/>
      <c r="S66" s="615"/>
      <c r="T66" s="616"/>
      <c r="U66" s="127">
        <f>U117</f>
        <v>0</v>
      </c>
    </row>
    <row r="67" spans="1:21">
      <c r="C67" s="110">
        <v>1</v>
      </c>
      <c r="D67" s="108" t="s">
        <v>89</v>
      </c>
      <c r="E67" s="615"/>
      <c r="F67" s="615"/>
      <c r="G67" s="615"/>
      <c r="H67" s="615"/>
      <c r="I67" s="615"/>
      <c r="J67" s="615"/>
      <c r="K67" s="615"/>
      <c r="L67" s="615"/>
      <c r="M67" s="615"/>
      <c r="N67" s="615"/>
      <c r="O67" s="615"/>
      <c r="P67" s="615"/>
      <c r="Q67" s="615"/>
      <c r="R67" s="615"/>
      <c r="S67" s="615"/>
      <c r="T67" s="616"/>
      <c r="U67" s="127">
        <f t="shared" ref="U67:U76" si="10">U118</f>
        <v>0</v>
      </c>
    </row>
    <row r="68" spans="1:21">
      <c r="C68" s="110">
        <v>2</v>
      </c>
      <c r="D68" s="108" t="s">
        <v>90</v>
      </c>
      <c r="E68" s="615"/>
      <c r="F68" s="615"/>
      <c r="G68" s="615"/>
      <c r="H68" s="615"/>
      <c r="I68" s="615"/>
      <c r="J68" s="615"/>
      <c r="K68" s="615"/>
      <c r="L68" s="615"/>
      <c r="M68" s="615"/>
      <c r="N68" s="615"/>
      <c r="O68" s="615"/>
      <c r="P68" s="615"/>
      <c r="Q68" s="615"/>
      <c r="R68" s="615"/>
      <c r="S68" s="615"/>
      <c r="T68" s="616"/>
      <c r="U68" s="127">
        <f t="shared" si="10"/>
        <v>0</v>
      </c>
    </row>
    <row r="69" spans="1:21">
      <c r="C69" s="110">
        <v>3</v>
      </c>
      <c r="D69" s="108" t="s">
        <v>91</v>
      </c>
      <c r="E69" s="615"/>
      <c r="F69" s="615"/>
      <c r="G69" s="615"/>
      <c r="H69" s="615"/>
      <c r="I69" s="615"/>
      <c r="J69" s="615"/>
      <c r="K69" s="615"/>
      <c r="L69" s="615"/>
      <c r="M69" s="615"/>
      <c r="N69" s="615"/>
      <c r="O69" s="615"/>
      <c r="P69" s="615"/>
      <c r="Q69" s="615"/>
      <c r="R69" s="615"/>
      <c r="S69" s="615"/>
      <c r="T69" s="616"/>
      <c r="U69" s="127">
        <f t="shared" si="10"/>
        <v>4</v>
      </c>
    </row>
    <row r="70" spans="1:21">
      <c r="C70" s="110">
        <v>4</v>
      </c>
      <c r="D70" s="108" t="s">
        <v>92</v>
      </c>
      <c r="E70" s="615"/>
      <c r="F70" s="615"/>
      <c r="G70" s="615"/>
      <c r="H70" s="615"/>
      <c r="I70" s="615"/>
      <c r="J70" s="615"/>
      <c r="K70" s="615"/>
      <c r="L70" s="615"/>
      <c r="M70" s="615"/>
      <c r="N70" s="615"/>
      <c r="O70" s="615"/>
      <c r="P70" s="615"/>
      <c r="Q70" s="615"/>
      <c r="R70" s="615"/>
      <c r="S70" s="615"/>
      <c r="T70" s="616"/>
      <c r="U70" s="127">
        <f t="shared" si="10"/>
        <v>0</v>
      </c>
    </row>
    <row r="71" spans="1:21">
      <c r="C71" s="110">
        <v>5</v>
      </c>
      <c r="D71" s="108" t="s">
        <v>93</v>
      </c>
      <c r="E71" s="615"/>
      <c r="F71" s="615"/>
      <c r="G71" s="615"/>
      <c r="H71" s="615"/>
      <c r="I71" s="615"/>
      <c r="J71" s="615"/>
      <c r="K71" s="615"/>
      <c r="L71" s="615"/>
      <c r="M71" s="615"/>
      <c r="N71" s="615"/>
      <c r="O71" s="615"/>
      <c r="P71" s="615"/>
      <c r="Q71" s="615"/>
      <c r="R71" s="615"/>
      <c r="S71" s="615"/>
      <c r="T71" s="616"/>
      <c r="U71" s="127">
        <f t="shared" si="10"/>
        <v>0</v>
      </c>
    </row>
    <row r="72" spans="1:21">
      <c r="C72" s="110">
        <v>6</v>
      </c>
      <c r="D72" s="108" t="s">
        <v>94</v>
      </c>
      <c r="E72" s="615"/>
      <c r="F72" s="615"/>
      <c r="G72" s="615"/>
      <c r="H72" s="615"/>
      <c r="I72" s="615"/>
      <c r="J72" s="615"/>
      <c r="K72" s="615"/>
      <c r="L72" s="615"/>
      <c r="M72" s="615"/>
      <c r="N72" s="615"/>
      <c r="O72" s="615"/>
      <c r="P72" s="615"/>
      <c r="Q72" s="615"/>
      <c r="R72" s="615"/>
      <c r="S72" s="615"/>
      <c r="T72" s="616"/>
      <c r="U72" s="127">
        <f t="shared" si="10"/>
        <v>0</v>
      </c>
    </row>
    <row r="73" spans="1:21">
      <c r="C73" s="110">
        <v>7</v>
      </c>
      <c r="D73" s="108" t="s">
        <v>95</v>
      </c>
      <c r="E73" s="615"/>
      <c r="F73" s="615"/>
      <c r="G73" s="615"/>
      <c r="H73" s="615"/>
      <c r="I73" s="615"/>
      <c r="J73" s="615"/>
      <c r="K73" s="615"/>
      <c r="L73" s="615"/>
      <c r="M73" s="615"/>
      <c r="N73" s="615"/>
      <c r="O73" s="615"/>
      <c r="P73" s="615"/>
      <c r="Q73" s="615"/>
      <c r="R73" s="615"/>
      <c r="S73" s="615"/>
      <c r="T73" s="616"/>
      <c r="U73" s="127">
        <f t="shared" si="10"/>
        <v>0</v>
      </c>
    </row>
    <row r="74" spans="1:21">
      <c r="C74" s="110">
        <v>8</v>
      </c>
      <c r="D74" s="108" t="s">
        <v>96</v>
      </c>
      <c r="E74" s="615"/>
      <c r="F74" s="615"/>
      <c r="G74" s="615"/>
      <c r="H74" s="615"/>
      <c r="I74" s="615"/>
      <c r="J74" s="615"/>
      <c r="K74" s="615"/>
      <c r="L74" s="615"/>
      <c r="M74" s="615"/>
      <c r="N74" s="615"/>
      <c r="O74" s="615"/>
      <c r="P74" s="615"/>
      <c r="Q74" s="615"/>
      <c r="R74" s="615">
        <f>+R15</f>
        <v>4</v>
      </c>
      <c r="S74" s="615"/>
      <c r="T74" s="616"/>
      <c r="U74" s="127">
        <f t="shared" si="10"/>
        <v>0</v>
      </c>
    </row>
    <row r="75" spans="1:21">
      <c r="C75" s="110">
        <v>9</v>
      </c>
      <c r="D75" s="108" t="s">
        <v>97</v>
      </c>
      <c r="E75" s="615"/>
      <c r="F75" s="615"/>
      <c r="G75" s="615"/>
      <c r="H75" s="615"/>
      <c r="I75" s="615"/>
      <c r="J75" s="615">
        <v>4</v>
      </c>
      <c r="K75" s="615"/>
      <c r="L75" s="615"/>
      <c r="M75" s="615"/>
      <c r="N75" s="615"/>
      <c r="O75" s="615"/>
      <c r="P75" s="615"/>
      <c r="Q75" s="615"/>
      <c r="R75" s="615"/>
      <c r="S75" s="615"/>
      <c r="T75" s="616"/>
      <c r="U75" s="128">
        <f t="shared" si="10"/>
        <v>0</v>
      </c>
    </row>
    <row r="76" spans="1:21">
      <c r="C76" s="110">
        <v>10</v>
      </c>
      <c r="D76" s="109" t="s">
        <v>98</v>
      </c>
      <c r="E76" s="615"/>
      <c r="F76" s="615"/>
      <c r="G76" s="615"/>
      <c r="H76" s="615"/>
      <c r="I76" s="615"/>
      <c r="J76" s="615"/>
      <c r="K76" s="615"/>
      <c r="L76" s="615"/>
      <c r="M76" s="615"/>
      <c r="N76" s="615"/>
      <c r="O76" s="615"/>
      <c r="P76" s="615"/>
      <c r="Q76" s="615"/>
      <c r="R76" s="615"/>
      <c r="S76" s="615"/>
      <c r="T76" s="616"/>
      <c r="U76" s="128">
        <f t="shared" si="10"/>
        <v>0</v>
      </c>
    </row>
    <row r="77" spans="1:21" s="4" customFormat="1">
      <c r="C77" s="111" t="s">
        <v>88</v>
      </c>
      <c r="D77" s="112"/>
      <c r="E77" s="117">
        <f t="shared" ref="E77:U77" si="11">SUM(E66:E76)</f>
        <v>0</v>
      </c>
      <c r="F77" s="117">
        <f t="shared" si="11"/>
        <v>0</v>
      </c>
      <c r="G77" s="117">
        <f t="shared" si="11"/>
        <v>0</v>
      </c>
      <c r="H77" s="117">
        <f t="shared" si="11"/>
        <v>0</v>
      </c>
      <c r="I77" s="117">
        <f t="shared" si="11"/>
        <v>0</v>
      </c>
      <c r="J77" s="117">
        <f t="shared" si="11"/>
        <v>4</v>
      </c>
      <c r="K77" s="117">
        <f t="shared" si="11"/>
        <v>0</v>
      </c>
      <c r="L77" s="117">
        <f t="shared" si="11"/>
        <v>0</v>
      </c>
      <c r="M77" s="117">
        <f t="shared" si="11"/>
        <v>0</v>
      </c>
      <c r="N77" s="117">
        <f t="shared" si="11"/>
        <v>0</v>
      </c>
      <c r="O77" s="117">
        <f t="shared" si="11"/>
        <v>0</v>
      </c>
      <c r="P77" s="117">
        <f t="shared" si="11"/>
        <v>0</v>
      </c>
      <c r="Q77" s="117">
        <f t="shared" si="11"/>
        <v>0</v>
      </c>
      <c r="R77" s="117">
        <f t="shared" si="11"/>
        <v>4</v>
      </c>
      <c r="S77" s="117">
        <f t="shared" si="11"/>
        <v>0</v>
      </c>
      <c r="T77" s="118">
        <f t="shared" si="11"/>
        <v>0</v>
      </c>
      <c r="U77" s="118">
        <f t="shared" si="11"/>
        <v>4</v>
      </c>
    </row>
    <row r="78" spans="1:21" s="4" customFormat="1">
      <c r="C78" s="111" t="str">
        <f>"Idade Média - "&amp;VLOOKUP(A64,TIPOLOGIA!$D$10:$E$12,2,0)</f>
        <v>Idade Média - MICROÔNIBUS</v>
      </c>
      <c r="D78" s="112"/>
      <c r="E78" s="124" t="str">
        <f t="shared" ref="E78:U78" si="12">IFERROR(SUMPRODUCT($C66:$C76,E66:E76)/E77,"-")</f>
        <v>-</v>
      </c>
      <c r="F78" s="124" t="str">
        <f t="shared" si="12"/>
        <v>-</v>
      </c>
      <c r="G78" s="124" t="str">
        <f t="shared" si="12"/>
        <v>-</v>
      </c>
      <c r="H78" s="124" t="str">
        <f t="shared" si="12"/>
        <v>-</v>
      </c>
      <c r="I78" s="124" t="str">
        <f t="shared" si="12"/>
        <v>-</v>
      </c>
      <c r="J78" s="124">
        <f t="shared" si="12"/>
        <v>9</v>
      </c>
      <c r="K78" s="124" t="str">
        <f t="shared" si="12"/>
        <v>-</v>
      </c>
      <c r="L78" s="124" t="str">
        <f t="shared" si="12"/>
        <v>-</v>
      </c>
      <c r="M78" s="124" t="str">
        <f t="shared" si="12"/>
        <v>-</v>
      </c>
      <c r="N78" s="124" t="str">
        <f t="shared" si="12"/>
        <v>-</v>
      </c>
      <c r="O78" s="124" t="str">
        <f t="shared" si="12"/>
        <v>-</v>
      </c>
      <c r="P78" s="124" t="str">
        <f t="shared" si="12"/>
        <v>-</v>
      </c>
      <c r="Q78" s="124" t="str">
        <f t="shared" si="12"/>
        <v>-</v>
      </c>
      <c r="R78" s="124">
        <f t="shared" si="12"/>
        <v>8</v>
      </c>
      <c r="S78" s="124" t="str">
        <f t="shared" si="12"/>
        <v>-</v>
      </c>
      <c r="T78" s="124" t="str">
        <f t="shared" si="12"/>
        <v>-</v>
      </c>
      <c r="U78" s="160">
        <f t="shared" si="12"/>
        <v>3</v>
      </c>
    </row>
    <row r="80" spans="1:21" ht="15.75">
      <c r="A80" s="2">
        <v>2</v>
      </c>
      <c r="C80" s="718" t="str">
        <f>"7.1.2.2 - "&amp;VLOOKUP(A80,TIPOLOGIA!$D$10:$E$12,2,0)</f>
        <v>7.1.2.2 - CONVENCIONAL</v>
      </c>
      <c r="D80" s="718"/>
      <c r="E80" s="718"/>
      <c r="F80" s="718"/>
    </row>
    <row r="81" spans="1:21" ht="18" customHeight="1">
      <c r="C81" s="705" t="s">
        <v>86</v>
      </c>
      <c r="D81" s="719"/>
      <c r="E81" s="105" t="s">
        <v>99</v>
      </c>
      <c r="F81" s="106">
        <v>1</v>
      </c>
      <c r="G81" s="106">
        <f t="shared" ref="G81:T81" si="13">+F81+1</f>
        <v>2</v>
      </c>
      <c r="H81" s="106">
        <f t="shared" si="13"/>
        <v>3</v>
      </c>
      <c r="I81" s="106">
        <f t="shared" si="13"/>
        <v>4</v>
      </c>
      <c r="J81" s="106">
        <f t="shared" si="13"/>
        <v>5</v>
      </c>
      <c r="K81" s="106">
        <f t="shared" si="13"/>
        <v>6</v>
      </c>
      <c r="L81" s="106">
        <f t="shared" si="13"/>
        <v>7</v>
      </c>
      <c r="M81" s="106">
        <f t="shared" si="13"/>
        <v>8</v>
      </c>
      <c r="N81" s="106">
        <f t="shared" si="13"/>
        <v>9</v>
      </c>
      <c r="O81" s="106">
        <f t="shared" si="13"/>
        <v>10</v>
      </c>
      <c r="P81" s="106">
        <f t="shared" si="13"/>
        <v>11</v>
      </c>
      <c r="Q81" s="106">
        <f t="shared" si="13"/>
        <v>12</v>
      </c>
      <c r="R81" s="106">
        <f t="shared" si="13"/>
        <v>13</v>
      </c>
      <c r="S81" s="106">
        <f t="shared" si="13"/>
        <v>14</v>
      </c>
      <c r="T81" s="107">
        <f t="shared" si="13"/>
        <v>15</v>
      </c>
      <c r="U81" s="107" t="s">
        <v>222</v>
      </c>
    </row>
    <row r="82" spans="1:21">
      <c r="C82" s="110">
        <v>0</v>
      </c>
      <c r="D82" s="108" t="s">
        <v>87</v>
      </c>
      <c r="E82" s="615"/>
      <c r="F82" s="615"/>
      <c r="G82" s="615"/>
      <c r="H82" s="615"/>
      <c r="I82" s="615"/>
      <c r="J82" s="615"/>
      <c r="K82" s="615"/>
      <c r="L82" s="615"/>
      <c r="M82" s="615"/>
      <c r="N82" s="615"/>
      <c r="O82" s="615"/>
      <c r="P82" s="615"/>
      <c r="Q82" s="615"/>
      <c r="R82" s="615"/>
      <c r="S82" s="615"/>
      <c r="T82" s="616"/>
      <c r="U82" s="127">
        <f>U133</f>
        <v>0</v>
      </c>
    </row>
    <row r="83" spans="1:21">
      <c r="C83" s="110">
        <v>1</v>
      </c>
      <c r="D83" s="108" t="s">
        <v>89</v>
      </c>
      <c r="E83" s="615"/>
      <c r="F83" s="615"/>
      <c r="G83" s="615"/>
      <c r="H83" s="615"/>
      <c r="I83" s="615"/>
      <c r="J83" s="615"/>
      <c r="K83" s="615"/>
      <c r="L83" s="615"/>
      <c r="M83" s="615"/>
      <c r="N83" s="615"/>
      <c r="O83" s="615"/>
      <c r="P83" s="615"/>
      <c r="Q83" s="615"/>
      <c r="R83" s="615"/>
      <c r="S83" s="615"/>
      <c r="T83" s="616"/>
      <c r="U83" s="127">
        <f t="shared" ref="U83:U92" si="14">U134</f>
        <v>0</v>
      </c>
    </row>
    <row r="84" spans="1:21">
      <c r="C84" s="110">
        <v>2</v>
      </c>
      <c r="D84" s="108" t="s">
        <v>90</v>
      </c>
      <c r="E84" s="615"/>
      <c r="F84" s="615"/>
      <c r="G84" s="615"/>
      <c r="H84" s="615"/>
      <c r="I84" s="615"/>
      <c r="J84" s="615"/>
      <c r="K84" s="615"/>
      <c r="L84" s="615"/>
      <c r="M84" s="615"/>
      <c r="N84" s="615"/>
      <c r="O84" s="615"/>
      <c r="P84" s="615"/>
      <c r="Q84" s="615"/>
      <c r="R84" s="615"/>
      <c r="S84" s="615"/>
      <c r="T84" s="616"/>
      <c r="U84" s="127">
        <f t="shared" si="14"/>
        <v>0</v>
      </c>
    </row>
    <row r="85" spans="1:21">
      <c r="C85" s="110">
        <v>3</v>
      </c>
      <c r="D85" s="108" t="s">
        <v>91</v>
      </c>
      <c r="E85" s="615"/>
      <c r="F85" s="615"/>
      <c r="G85" s="615"/>
      <c r="H85" s="615"/>
      <c r="I85" s="615"/>
      <c r="J85" s="615"/>
      <c r="K85" s="615"/>
      <c r="L85" s="615"/>
      <c r="M85" s="615"/>
      <c r="N85" s="615"/>
      <c r="O85" s="615"/>
      <c r="P85" s="615"/>
      <c r="Q85" s="615"/>
      <c r="R85" s="615"/>
      <c r="S85" s="615"/>
      <c r="T85" s="616"/>
      <c r="U85" s="127">
        <f t="shared" si="14"/>
        <v>3</v>
      </c>
    </row>
    <row r="86" spans="1:21">
      <c r="C86" s="110">
        <v>4</v>
      </c>
      <c r="D86" s="108" t="s">
        <v>92</v>
      </c>
      <c r="E86" s="615"/>
      <c r="F86" s="615"/>
      <c r="G86" s="615"/>
      <c r="H86" s="615"/>
      <c r="I86" s="615"/>
      <c r="J86" s="615"/>
      <c r="K86" s="615"/>
      <c r="L86" s="615"/>
      <c r="M86" s="615"/>
      <c r="N86" s="615"/>
      <c r="O86" s="615"/>
      <c r="P86" s="615"/>
      <c r="Q86" s="615"/>
      <c r="R86" s="615"/>
      <c r="S86" s="615"/>
      <c r="T86" s="616"/>
      <c r="U86" s="127">
        <f t="shared" si="14"/>
        <v>2</v>
      </c>
    </row>
    <row r="87" spans="1:21">
      <c r="C87" s="110">
        <v>5</v>
      </c>
      <c r="D87" s="108" t="s">
        <v>93</v>
      </c>
      <c r="E87" s="615"/>
      <c r="F87" s="615"/>
      <c r="G87" s="615"/>
      <c r="H87" s="615"/>
      <c r="I87" s="615"/>
      <c r="J87" s="615"/>
      <c r="K87" s="615"/>
      <c r="L87" s="615"/>
      <c r="M87" s="615"/>
      <c r="N87" s="615"/>
      <c r="O87" s="615"/>
      <c r="P87" s="615"/>
      <c r="Q87" s="615"/>
      <c r="R87" s="615"/>
      <c r="S87" s="615"/>
      <c r="T87" s="616"/>
      <c r="U87" s="127">
        <f t="shared" si="14"/>
        <v>3</v>
      </c>
    </row>
    <row r="88" spans="1:21">
      <c r="C88" s="110">
        <v>6</v>
      </c>
      <c r="D88" s="108" t="s">
        <v>94</v>
      </c>
      <c r="E88" s="615"/>
      <c r="F88" s="615"/>
      <c r="G88" s="615">
        <f>+G31</f>
        <v>3</v>
      </c>
      <c r="H88" s="615"/>
      <c r="I88" s="615"/>
      <c r="J88" s="615"/>
      <c r="K88" s="615"/>
      <c r="L88" s="615"/>
      <c r="M88" s="615"/>
      <c r="N88" s="615"/>
      <c r="O88" s="615"/>
      <c r="P88" s="615"/>
      <c r="Q88" s="615"/>
      <c r="R88" s="615"/>
      <c r="S88" s="615"/>
      <c r="T88" s="616"/>
      <c r="U88" s="127">
        <f t="shared" si="14"/>
        <v>1</v>
      </c>
    </row>
    <row r="89" spans="1:21">
      <c r="C89" s="110">
        <v>7</v>
      </c>
      <c r="D89" s="108" t="s">
        <v>95</v>
      </c>
      <c r="E89" s="615"/>
      <c r="F89" s="615"/>
      <c r="G89" s="615"/>
      <c r="H89" s="615">
        <f>+H31</f>
        <v>2</v>
      </c>
      <c r="I89" s="615"/>
      <c r="J89" s="615"/>
      <c r="K89" s="615"/>
      <c r="L89" s="615"/>
      <c r="M89" s="615"/>
      <c r="N89" s="615">
        <v>1</v>
      </c>
      <c r="O89" s="615"/>
      <c r="P89" s="615"/>
      <c r="Q89" s="615"/>
      <c r="R89" s="615"/>
      <c r="S89" s="615"/>
      <c r="T89" s="616"/>
      <c r="U89" s="127">
        <f t="shared" si="14"/>
        <v>1</v>
      </c>
    </row>
    <row r="90" spans="1:21">
      <c r="C90" s="110">
        <v>8</v>
      </c>
      <c r="D90" s="108" t="s">
        <v>96</v>
      </c>
      <c r="E90" s="615"/>
      <c r="F90" s="615"/>
      <c r="G90" s="615"/>
      <c r="H90" s="615"/>
      <c r="I90" s="615">
        <f>+I31</f>
        <v>2</v>
      </c>
      <c r="J90" s="615"/>
      <c r="K90" s="615"/>
      <c r="L90" s="615"/>
      <c r="M90" s="615"/>
      <c r="N90" s="615"/>
      <c r="O90" s="615">
        <f>+O31</f>
        <v>1</v>
      </c>
      <c r="P90" s="615">
        <v>2</v>
      </c>
      <c r="Q90" s="615">
        <v>2</v>
      </c>
      <c r="R90" s="615">
        <f>+R31</f>
        <v>3</v>
      </c>
      <c r="S90" s="615"/>
      <c r="T90" s="616"/>
      <c r="U90" s="127">
        <f t="shared" si="14"/>
        <v>0</v>
      </c>
    </row>
    <row r="91" spans="1:21">
      <c r="C91" s="110">
        <v>9</v>
      </c>
      <c r="D91" s="108" t="s">
        <v>97</v>
      </c>
      <c r="E91" s="615"/>
      <c r="F91" s="615"/>
      <c r="G91" s="615"/>
      <c r="H91" s="615"/>
      <c r="I91" s="615"/>
      <c r="J91" s="615">
        <f>+J31</f>
        <v>3</v>
      </c>
      <c r="K91" s="615"/>
      <c r="L91" s="615"/>
      <c r="M91" s="615"/>
      <c r="N91" s="615"/>
      <c r="O91" s="615"/>
      <c r="P91" s="615">
        <v>1</v>
      </c>
      <c r="Q91" s="615"/>
      <c r="R91" s="615"/>
      <c r="S91" s="615"/>
      <c r="T91" s="616"/>
      <c r="U91" s="128">
        <f t="shared" si="14"/>
        <v>0</v>
      </c>
    </row>
    <row r="92" spans="1:21">
      <c r="C92" s="110">
        <v>10</v>
      </c>
      <c r="D92" s="109" t="s">
        <v>98</v>
      </c>
      <c r="E92" s="615"/>
      <c r="F92" s="615"/>
      <c r="G92" s="615"/>
      <c r="H92" s="615"/>
      <c r="I92" s="615"/>
      <c r="J92" s="615"/>
      <c r="K92" s="615"/>
      <c r="L92" s="615"/>
      <c r="M92" s="615"/>
      <c r="N92" s="615"/>
      <c r="O92" s="615"/>
      <c r="P92" s="615"/>
      <c r="Q92" s="615"/>
      <c r="R92" s="615"/>
      <c r="S92" s="615"/>
      <c r="T92" s="616"/>
      <c r="U92" s="128">
        <f t="shared" si="14"/>
        <v>0</v>
      </c>
    </row>
    <row r="93" spans="1:21" s="4" customFormat="1">
      <c r="C93" s="111" t="s">
        <v>88</v>
      </c>
      <c r="D93" s="112"/>
      <c r="E93" s="117">
        <f t="shared" ref="E93:U93" si="15">SUM(E82:E92)</f>
        <v>0</v>
      </c>
      <c r="F93" s="117">
        <f t="shared" si="15"/>
        <v>0</v>
      </c>
      <c r="G93" s="117">
        <f t="shared" si="15"/>
        <v>3</v>
      </c>
      <c r="H93" s="117">
        <f t="shared" si="15"/>
        <v>2</v>
      </c>
      <c r="I93" s="117">
        <f t="shared" si="15"/>
        <v>2</v>
      </c>
      <c r="J93" s="117">
        <f t="shared" si="15"/>
        <v>3</v>
      </c>
      <c r="K93" s="117">
        <f t="shared" si="15"/>
        <v>0</v>
      </c>
      <c r="L93" s="117">
        <f t="shared" si="15"/>
        <v>0</v>
      </c>
      <c r="M93" s="117">
        <f t="shared" si="15"/>
        <v>0</v>
      </c>
      <c r="N93" s="117">
        <f t="shared" si="15"/>
        <v>1</v>
      </c>
      <c r="O93" s="117">
        <f t="shared" si="15"/>
        <v>1</v>
      </c>
      <c r="P93" s="117">
        <f t="shared" si="15"/>
        <v>3</v>
      </c>
      <c r="Q93" s="117">
        <f t="shared" si="15"/>
        <v>2</v>
      </c>
      <c r="R93" s="117">
        <f t="shared" si="15"/>
        <v>3</v>
      </c>
      <c r="S93" s="117">
        <f t="shared" si="15"/>
        <v>0</v>
      </c>
      <c r="T93" s="118">
        <f t="shared" si="15"/>
        <v>0</v>
      </c>
      <c r="U93" s="118">
        <f t="shared" si="15"/>
        <v>10</v>
      </c>
    </row>
    <row r="94" spans="1:21" s="4" customFormat="1">
      <c r="C94" s="111" t="str">
        <f>"Idade Média - "&amp;VLOOKUP(A80,TIPOLOGIA!$D$10:$E$12,2,0)</f>
        <v>Idade Média - CONVENCIONAL</v>
      </c>
      <c r="D94" s="112"/>
      <c r="E94" s="117" t="str">
        <f t="shared" ref="E94:U94" si="16">IFERROR(SUMPRODUCT($C82:$C92,E82:E92)/E93,"-")</f>
        <v>-</v>
      </c>
      <c r="F94" s="124" t="str">
        <f t="shared" si="16"/>
        <v>-</v>
      </c>
      <c r="G94" s="124">
        <f t="shared" si="16"/>
        <v>6</v>
      </c>
      <c r="H94" s="124">
        <f t="shared" si="16"/>
        <v>7</v>
      </c>
      <c r="I94" s="124">
        <f t="shared" si="16"/>
        <v>8</v>
      </c>
      <c r="J94" s="124">
        <f t="shared" si="16"/>
        <v>9</v>
      </c>
      <c r="K94" s="124" t="str">
        <f t="shared" si="16"/>
        <v>-</v>
      </c>
      <c r="L94" s="124" t="str">
        <f t="shared" si="16"/>
        <v>-</v>
      </c>
      <c r="M94" s="124" t="str">
        <f t="shared" si="16"/>
        <v>-</v>
      </c>
      <c r="N94" s="124">
        <f t="shared" si="16"/>
        <v>7</v>
      </c>
      <c r="O94" s="124">
        <f t="shared" si="16"/>
        <v>8</v>
      </c>
      <c r="P94" s="124">
        <f t="shared" si="16"/>
        <v>8.3333333333333339</v>
      </c>
      <c r="Q94" s="124">
        <f t="shared" si="16"/>
        <v>8</v>
      </c>
      <c r="R94" s="124">
        <f t="shared" si="16"/>
        <v>8</v>
      </c>
      <c r="S94" s="124" t="str">
        <f t="shared" si="16"/>
        <v>-</v>
      </c>
      <c r="T94" s="124" t="str">
        <f t="shared" si="16"/>
        <v>-</v>
      </c>
      <c r="U94" s="160">
        <f t="shared" si="16"/>
        <v>4.5</v>
      </c>
    </row>
    <row r="96" spans="1:21" ht="15.75">
      <c r="A96" s="2">
        <v>3</v>
      </c>
      <c r="C96" s="718" t="str">
        <f>"7.1.2.3 - "&amp;VLOOKUP(A96,TIPOLOGIA!$D$10:$E$12,2,0)</f>
        <v>7.1.2.3 - -</v>
      </c>
      <c r="D96" s="718"/>
      <c r="E96" s="718"/>
      <c r="F96" s="718"/>
    </row>
    <row r="97" spans="3:21" ht="18" customHeight="1">
      <c r="C97" s="705" t="s">
        <v>86</v>
      </c>
      <c r="D97" s="719"/>
      <c r="E97" s="105" t="s">
        <v>99</v>
      </c>
      <c r="F97" s="106">
        <v>1</v>
      </c>
      <c r="G97" s="106">
        <f t="shared" ref="G97:T97" si="17">+F97+1</f>
        <v>2</v>
      </c>
      <c r="H97" s="106">
        <f t="shared" si="17"/>
        <v>3</v>
      </c>
      <c r="I97" s="106">
        <f t="shared" si="17"/>
        <v>4</v>
      </c>
      <c r="J97" s="106">
        <f t="shared" si="17"/>
        <v>5</v>
      </c>
      <c r="K97" s="106">
        <f t="shared" si="17"/>
        <v>6</v>
      </c>
      <c r="L97" s="106">
        <f t="shared" si="17"/>
        <v>7</v>
      </c>
      <c r="M97" s="106">
        <f t="shared" si="17"/>
        <v>8</v>
      </c>
      <c r="N97" s="106">
        <f t="shared" si="17"/>
        <v>9</v>
      </c>
      <c r="O97" s="106">
        <f t="shared" si="17"/>
        <v>10</v>
      </c>
      <c r="P97" s="106">
        <f t="shared" si="17"/>
        <v>11</v>
      </c>
      <c r="Q97" s="106">
        <f t="shared" si="17"/>
        <v>12</v>
      </c>
      <c r="R97" s="106">
        <f t="shared" si="17"/>
        <v>13</v>
      </c>
      <c r="S97" s="106">
        <f t="shared" si="17"/>
        <v>14</v>
      </c>
      <c r="T97" s="107">
        <f t="shared" si="17"/>
        <v>15</v>
      </c>
      <c r="U97" s="107" t="s">
        <v>222</v>
      </c>
    </row>
    <row r="98" spans="3:21">
      <c r="C98" s="110">
        <v>0</v>
      </c>
      <c r="D98" s="108" t="s">
        <v>87</v>
      </c>
      <c r="E98" s="615"/>
      <c r="F98" s="615"/>
      <c r="G98" s="615"/>
      <c r="H98" s="615"/>
      <c r="I98" s="615"/>
      <c r="J98" s="615"/>
      <c r="K98" s="615"/>
      <c r="L98" s="615"/>
      <c r="M98" s="615"/>
      <c r="N98" s="615"/>
      <c r="O98" s="615"/>
      <c r="P98" s="615"/>
      <c r="Q98" s="615"/>
      <c r="R98" s="615"/>
      <c r="S98" s="615"/>
      <c r="T98" s="616"/>
      <c r="U98" s="127">
        <f>U149</f>
        <v>0</v>
      </c>
    </row>
    <row r="99" spans="3:21">
      <c r="C99" s="110">
        <v>1</v>
      </c>
      <c r="D99" s="108" t="s">
        <v>89</v>
      </c>
      <c r="E99" s="615"/>
      <c r="F99" s="615"/>
      <c r="G99" s="615"/>
      <c r="H99" s="615"/>
      <c r="I99" s="615"/>
      <c r="J99" s="615"/>
      <c r="K99" s="615"/>
      <c r="L99" s="615"/>
      <c r="M99" s="615"/>
      <c r="N99" s="615"/>
      <c r="O99" s="615"/>
      <c r="P99" s="615"/>
      <c r="Q99" s="615"/>
      <c r="R99" s="615"/>
      <c r="S99" s="615"/>
      <c r="T99" s="616"/>
      <c r="U99" s="127">
        <f t="shared" ref="U99:U108" si="18">U150</f>
        <v>0</v>
      </c>
    </row>
    <row r="100" spans="3:21">
      <c r="C100" s="110">
        <v>2</v>
      </c>
      <c r="D100" s="108" t="s">
        <v>90</v>
      </c>
      <c r="E100" s="615"/>
      <c r="F100" s="615"/>
      <c r="G100" s="615"/>
      <c r="H100" s="615"/>
      <c r="I100" s="615"/>
      <c r="J100" s="615"/>
      <c r="K100" s="615"/>
      <c r="L100" s="615"/>
      <c r="M100" s="615"/>
      <c r="N100" s="615"/>
      <c r="O100" s="615"/>
      <c r="P100" s="615"/>
      <c r="Q100" s="615"/>
      <c r="R100" s="615"/>
      <c r="S100" s="615"/>
      <c r="T100" s="616"/>
      <c r="U100" s="127">
        <f t="shared" si="18"/>
        <v>0</v>
      </c>
    </row>
    <row r="101" spans="3:21">
      <c r="C101" s="110">
        <v>3</v>
      </c>
      <c r="D101" s="108" t="s">
        <v>91</v>
      </c>
      <c r="E101" s="615"/>
      <c r="F101" s="615"/>
      <c r="G101" s="615"/>
      <c r="H101" s="615"/>
      <c r="I101" s="615"/>
      <c r="J101" s="615"/>
      <c r="K101" s="615"/>
      <c r="L101" s="615"/>
      <c r="M101" s="615"/>
      <c r="N101" s="615"/>
      <c r="O101" s="615"/>
      <c r="P101" s="615"/>
      <c r="Q101" s="615"/>
      <c r="R101" s="615"/>
      <c r="S101" s="615"/>
      <c r="T101" s="616"/>
      <c r="U101" s="127">
        <f t="shared" si="18"/>
        <v>0</v>
      </c>
    </row>
    <row r="102" spans="3:21">
      <c r="C102" s="110">
        <v>4</v>
      </c>
      <c r="D102" s="108" t="s">
        <v>92</v>
      </c>
      <c r="E102" s="615"/>
      <c r="F102" s="615"/>
      <c r="G102" s="615"/>
      <c r="H102" s="615"/>
      <c r="I102" s="615"/>
      <c r="J102" s="615"/>
      <c r="K102" s="615"/>
      <c r="L102" s="615"/>
      <c r="M102" s="615"/>
      <c r="N102" s="615"/>
      <c r="O102" s="615"/>
      <c r="P102" s="615"/>
      <c r="Q102" s="615"/>
      <c r="R102" s="615"/>
      <c r="S102" s="615"/>
      <c r="T102" s="616"/>
      <c r="U102" s="127">
        <f t="shared" si="18"/>
        <v>0</v>
      </c>
    </row>
    <row r="103" spans="3:21">
      <c r="C103" s="110">
        <v>5</v>
      </c>
      <c r="D103" s="108" t="s">
        <v>93</v>
      </c>
      <c r="E103" s="615"/>
      <c r="F103" s="615"/>
      <c r="G103" s="615"/>
      <c r="H103" s="615"/>
      <c r="I103" s="615"/>
      <c r="J103" s="615"/>
      <c r="K103" s="615"/>
      <c r="L103" s="615"/>
      <c r="M103" s="615"/>
      <c r="N103" s="615"/>
      <c r="O103" s="615"/>
      <c r="P103" s="615"/>
      <c r="Q103" s="615"/>
      <c r="R103" s="615"/>
      <c r="S103" s="615"/>
      <c r="T103" s="616"/>
      <c r="U103" s="127">
        <f t="shared" si="18"/>
        <v>0</v>
      </c>
    </row>
    <row r="104" spans="3:21">
      <c r="C104" s="110">
        <v>6</v>
      </c>
      <c r="D104" s="108" t="s">
        <v>94</v>
      </c>
      <c r="E104" s="615"/>
      <c r="F104" s="615"/>
      <c r="G104" s="615"/>
      <c r="H104" s="615"/>
      <c r="I104" s="615"/>
      <c r="J104" s="615"/>
      <c r="K104" s="615"/>
      <c r="L104" s="615"/>
      <c r="M104" s="615"/>
      <c r="N104" s="615"/>
      <c r="O104" s="615"/>
      <c r="P104" s="615"/>
      <c r="Q104" s="615"/>
      <c r="R104" s="615"/>
      <c r="S104" s="615"/>
      <c r="T104" s="616"/>
      <c r="U104" s="127">
        <f t="shared" si="18"/>
        <v>0</v>
      </c>
    </row>
    <row r="105" spans="3:21">
      <c r="C105" s="110">
        <v>7</v>
      </c>
      <c r="D105" s="108" t="s">
        <v>95</v>
      </c>
      <c r="E105" s="615"/>
      <c r="F105" s="615"/>
      <c r="G105" s="615"/>
      <c r="H105" s="615"/>
      <c r="I105" s="615"/>
      <c r="J105" s="615"/>
      <c r="K105" s="615"/>
      <c r="L105" s="615"/>
      <c r="M105" s="615"/>
      <c r="N105" s="615"/>
      <c r="O105" s="615"/>
      <c r="P105" s="615"/>
      <c r="Q105" s="615"/>
      <c r="R105" s="615"/>
      <c r="S105" s="615"/>
      <c r="T105" s="616"/>
      <c r="U105" s="127">
        <f t="shared" si="18"/>
        <v>0</v>
      </c>
    </row>
    <row r="106" spans="3:21">
      <c r="C106" s="110">
        <v>8</v>
      </c>
      <c r="D106" s="108" t="s">
        <v>96</v>
      </c>
      <c r="E106" s="615"/>
      <c r="F106" s="615"/>
      <c r="G106" s="615"/>
      <c r="H106" s="615"/>
      <c r="I106" s="615"/>
      <c r="J106" s="615"/>
      <c r="K106" s="615"/>
      <c r="L106" s="615"/>
      <c r="M106" s="615"/>
      <c r="N106" s="615"/>
      <c r="O106" s="615"/>
      <c r="P106" s="615"/>
      <c r="Q106" s="615"/>
      <c r="R106" s="615"/>
      <c r="S106" s="615"/>
      <c r="T106" s="616"/>
      <c r="U106" s="127">
        <f t="shared" si="18"/>
        <v>0</v>
      </c>
    </row>
    <row r="107" spans="3:21">
      <c r="C107" s="110">
        <v>9</v>
      </c>
      <c r="D107" s="108" t="s">
        <v>97</v>
      </c>
      <c r="E107" s="615"/>
      <c r="F107" s="615"/>
      <c r="G107" s="615"/>
      <c r="H107" s="615"/>
      <c r="I107" s="615"/>
      <c r="J107" s="615"/>
      <c r="K107" s="615"/>
      <c r="L107" s="615"/>
      <c r="M107" s="615"/>
      <c r="N107" s="615"/>
      <c r="O107" s="615"/>
      <c r="P107" s="615"/>
      <c r="Q107" s="615"/>
      <c r="R107" s="615"/>
      <c r="S107" s="615"/>
      <c r="T107" s="616"/>
      <c r="U107" s="128">
        <f t="shared" si="18"/>
        <v>0</v>
      </c>
    </row>
    <row r="108" spans="3:21">
      <c r="C108" s="110">
        <v>10</v>
      </c>
      <c r="D108" s="109" t="s">
        <v>98</v>
      </c>
      <c r="E108" s="615"/>
      <c r="F108" s="615"/>
      <c r="G108" s="615"/>
      <c r="H108" s="615"/>
      <c r="I108" s="615"/>
      <c r="J108" s="615"/>
      <c r="K108" s="615"/>
      <c r="L108" s="615"/>
      <c r="M108" s="615"/>
      <c r="N108" s="615"/>
      <c r="O108" s="615"/>
      <c r="P108" s="615"/>
      <c r="Q108" s="615"/>
      <c r="R108" s="615"/>
      <c r="S108" s="615"/>
      <c r="T108" s="616"/>
      <c r="U108" s="128">
        <f t="shared" si="18"/>
        <v>0</v>
      </c>
    </row>
    <row r="109" spans="3:21" s="4" customFormat="1">
      <c r="C109" s="111" t="s">
        <v>88</v>
      </c>
      <c r="D109" s="112"/>
      <c r="E109" s="117">
        <f t="shared" ref="E109:U109" si="19">SUM(E98:E108)</f>
        <v>0</v>
      </c>
      <c r="F109" s="117">
        <f t="shared" si="19"/>
        <v>0</v>
      </c>
      <c r="G109" s="117">
        <f t="shared" si="19"/>
        <v>0</v>
      </c>
      <c r="H109" s="117">
        <f t="shared" si="19"/>
        <v>0</v>
      </c>
      <c r="I109" s="117">
        <f t="shared" si="19"/>
        <v>0</v>
      </c>
      <c r="J109" s="117">
        <f t="shared" si="19"/>
        <v>0</v>
      </c>
      <c r="K109" s="117">
        <f t="shared" si="19"/>
        <v>0</v>
      </c>
      <c r="L109" s="117">
        <f t="shared" si="19"/>
        <v>0</v>
      </c>
      <c r="M109" s="117">
        <f t="shared" si="19"/>
        <v>0</v>
      </c>
      <c r="N109" s="117">
        <f t="shared" si="19"/>
        <v>0</v>
      </c>
      <c r="O109" s="117">
        <f t="shared" si="19"/>
        <v>0</v>
      </c>
      <c r="P109" s="117">
        <f t="shared" si="19"/>
        <v>0</v>
      </c>
      <c r="Q109" s="117">
        <f t="shared" si="19"/>
        <v>0</v>
      </c>
      <c r="R109" s="117">
        <f t="shared" si="19"/>
        <v>0</v>
      </c>
      <c r="S109" s="117">
        <f t="shared" si="19"/>
        <v>0</v>
      </c>
      <c r="T109" s="118">
        <f t="shared" si="19"/>
        <v>0</v>
      </c>
      <c r="U109" s="118">
        <f t="shared" si="19"/>
        <v>0</v>
      </c>
    </row>
    <row r="110" spans="3:21" s="4" customFormat="1">
      <c r="C110" s="111" t="str">
        <f>"Idade Média - "&amp;VLOOKUP(A96,TIPOLOGIA!$D$10:$E$12,2,0)</f>
        <v>Idade Média - -</v>
      </c>
      <c r="D110" s="112"/>
      <c r="E110" s="124" t="str">
        <f t="shared" ref="E110:U110" si="20">IFERROR(SUMPRODUCT($C98:$C108,E98:E108)/E109,"-")</f>
        <v>-</v>
      </c>
      <c r="F110" s="124" t="str">
        <f t="shared" si="20"/>
        <v>-</v>
      </c>
      <c r="G110" s="124" t="str">
        <f t="shared" si="20"/>
        <v>-</v>
      </c>
      <c r="H110" s="124" t="str">
        <f t="shared" si="20"/>
        <v>-</v>
      </c>
      <c r="I110" s="124" t="str">
        <f t="shared" si="20"/>
        <v>-</v>
      </c>
      <c r="J110" s="124" t="str">
        <f t="shared" si="20"/>
        <v>-</v>
      </c>
      <c r="K110" s="124" t="str">
        <f t="shared" si="20"/>
        <v>-</v>
      </c>
      <c r="L110" s="124" t="str">
        <f t="shared" si="20"/>
        <v>-</v>
      </c>
      <c r="M110" s="124" t="str">
        <f t="shared" si="20"/>
        <v>-</v>
      </c>
      <c r="N110" s="124" t="str">
        <f t="shared" si="20"/>
        <v>-</v>
      </c>
      <c r="O110" s="124" t="str">
        <f t="shared" si="20"/>
        <v>-</v>
      </c>
      <c r="P110" s="124" t="str">
        <f t="shared" si="20"/>
        <v>-</v>
      </c>
      <c r="Q110" s="124" t="str">
        <f t="shared" si="20"/>
        <v>-</v>
      </c>
      <c r="R110" s="124" t="str">
        <f t="shared" si="20"/>
        <v>-</v>
      </c>
      <c r="S110" s="124" t="str">
        <f t="shared" si="20"/>
        <v>-</v>
      </c>
      <c r="T110" s="124" t="str">
        <f t="shared" si="20"/>
        <v>-</v>
      </c>
      <c r="U110" s="160" t="str">
        <f t="shared" si="20"/>
        <v>-</v>
      </c>
    </row>
    <row r="113" spans="1:21" ht="18" customHeight="1">
      <c r="C113" s="587" t="s">
        <v>103</v>
      </c>
      <c r="D113" s="588"/>
      <c r="E113" s="589"/>
      <c r="F113" s="589"/>
      <c r="G113" s="589"/>
      <c r="H113" s="589"/>
      <c r="I113" s="589"/>
      <c r="J113" s="589"/>
      <c r="K113" s="589"/>
      <c r="L113" s="589"/>
      <c r="M113" s="589"/>
      <c r="N113" s="589"/>
      <c r="O113" s="589"/>
      <c r="P113" s="589"/>
      <c r="Q113" s="589"/>
      <c r="R113" s="589"/>
      <c r="S113" s="589"/>
      <c r="T113" s="589"/>
      <c r="U113" s="589"/>
    </row>
    <row r="115" spans="1:21" ht="15.75">
      <c r="A115" s="2">
        <v>1</v>
      </c>
      <c r="C115" s="718" t="str">
        <f>"7.1.3.1 - "&amp;VLOOKUP(A115,TIPOLOGIA!$D$10:$E$12,2,0)</f>
        <v>7.1.3.1 - MICROÔNIBUS</v>
      </c>
      <c r="D115" s="718"/>
      <c r="E115" s="718"/>
      <c r="F115" s="718"/>
    </row>
    <row r="116" spans="1:21" ht="18" customHeight="1">
      <c r="C116" s="705" t="s">
        <v>86</v>
      </c>
      <c r="D116" s="719"/>
      <c r="E116" s="105" t="s">
        <v>99</v>
      </c>
      <c r="F116" s="106">
        <v>1</v>
      </c>
      <c r="G116" s="106">
        <f t="shared" ref="G116:T116" si="21">+F116+1</f>
        <v>2</v>
      </c>
      <c r="H116" s="106">
        <f t="shared" si="21"/>
        <v>3</v>
      </c>
      <c r="I116" s="106">
        <f t="shared" si="21"/>
        <v>4</v>
      </c>
      <c r="J116" s="106">
        <f t="shared" si="21"/>
        <v>5</v>
      </c>
      <c r="K116" s="106">
        <f t="shared" si="21"/>
        <v>6</v>
      </c>
      <c r="L116" s="106">
        <f t="shared" si="21"/>
        <v>7</v>
      </c>
      <c r="M116" s="106">
        <f t="shared" si="21"/>
        <v>8</v>
      </c>
      <c r="N116" s="106">
        <f t="shared" si="21"/>
        <v>9</v>
      </c>
      <c r="O116" s="106">
        <f t="shared" si="21"/>
        <v>10</v>
      </c>
      <c r="P116" s="106">
        <f t="shared" si="21"/>
        <v>11</v>
      </c>
      <c r="Q116" s="106">
        <f t="shared" si="21"/>
        <v>12</v>
      </c>
      <c r="R116" s="106">
        <f t="shared" si="21"/>
        <v>13</v>
      </c>
      <c r="S116" s="106">
        <f t="shared" si="21"/>
        <v>14</v>
      </c>
      <c r="T116" s="107">
        <f t="shared" si="21"/>
        <v>15</v>
      </c>
      <c r="U116" s="107" t="s">
        <v>222</v>
      </c>
    </row>
    <row r="117" spans="1:21">
      <c r="C117" s="110">
        <v>0</v>
      </c>
      <c r="D117" s="108" t="s">
        <v>87</v>
      </c>
      <c r="E117" s="113">
        <f t="shared" ref="E117:E127" si="22">E15-E66</f>
        <v>0</v>
      </c>
      <c r="F117" s="113">
        <f>E117+F15-F66</f>
        <v>0</v>
      </c>
      <c r="G117" s="113">
        <f>G15-G66</f>
        <v>0</v>
      </c>
      <c r="H117" s="113">
        <f t="shared" ref="H117:T117" si="23">H15-H66</f>
        <v>0</v>
      </c>
      <c r="I117" s="113">
        <f t="shared" si="23"/>
        <v>0</v>
      </c>
      <c r="J117" s="113">
        <f t="shared" si="23"/>
        <v>4</v>
      </c>
      <c r="K117" s="113">
        <f t="shared" si="23"/>
        <v>0</v>
      </c>
      <c r="L117" s="113">
        <f t="shared" si="23"/>
        <v>0</v>
      </c>
      <c r="M117" s="113">
        <f t="shared" si="23"/>
        <v>0</v>
      </c>
      <c r="N117" s="113">
        <f t="shared" si="23"/>
        <v>0</v>
      </c>
      <c r="O117" s="113">
        <f t="shared" si="23"/>
        <v>0</v>
      </c>
      <c r="P117" s="113">
        <f t="shared" si="23"/>
        <v>0</v>
      </c>
      <c r="Q117" s="113">
        <f t="shared" si="23"/>
        <v>0</v>
      </c>
      <c r="R117" s="113">
        <f t="shared" si="23"/>
        <v>4</v>
      </c>
      <c r="S117" s="113">
        <f t="shared" si="23"/>
        <v>0</v>
      </c>
      <c r="T117" s="114">
        <f t="shared" si="23"/>
        <v>0</v>
      </c>
      <c r="U117" s="114">
        <f>T117</f>
        <v>0</v>
      </c>
    </row>
    <row r="118" spans="1:21">
      <c r="C118" s="110">
        <v>1</v>
      </c>
      <c r="D118" s="108" t="s">
        <v>89</v>
      </c>
      <c r="E118" s="113">
        <f t="shared" si="22"/>
        <v>0</v>
      </c>
      <c r="F118" s="113">
        <f t="shared" ref="F118:F127" si="24">E118+F16-F67</f>
        <v>0</v>
      </c>
      <c r="G118" s="113">
        <f>F117+G16-G67</f>
        <v>0</v>
      </c>
      <c r="H118" s="113">
        <f t="shared" ref="H118:T118" si="25">G117+H16-H67</f>
        <v>0</v>
      </c>
      <c r="I118" s="113">
        <f t="shared" si="25"/>
        <v>0</v>
      </c>
      <c r="J118" s="113">
        <f t="shared" si="25"/>
        <v>0</v>
      </c>
      <c r="K118" s="113">
        <f t="shared" si="25"/>
        <v>4</v>
      </c>
      <c r="L118" s="113">
        <f t="shared" si="25"/>
        <v>0</v>
      </c>
      <c r="M118" s="113">
        <f t="shared" si="25"/>
        <v>0</v>
      </c>
      <c r="N118" s="113">
        <f t="shared" si="25"/>
        <v>0</v>
      </c>
      <c r="O118" s="113">
        <f t="shared" si="25"/>
        <v>0</v>
      </c>
      <c r="P118" s="113">
        <f t="shared" si="25"/>
        <v>0</v>
      </c>
      <c r="Q118" s="113">
        <f t="shared" si="25"/>
        <v>0</v>
      </c>
      <c r="R118" s="113">
        <f t="shared" si="25"/>
        <v>0</v>
      </c>
      <c r="S118" s="113">
        <f t="shared" si="25"/>
        <v>4</v>
      </c>
      <c r="T118" s="114">
        <f t="shared" si="25"/>
        <v>0</v>
      </c>
      <c r="U118" s="114">
        <f>+T117</f>
        <v>0</v>
      </c>
    </row>
    <row r="119" spans="1:21">
      <c r="C119" s="110">
        <v>2</v>
      </c>
      <c r="D119" s="108" t="s">
        <v>90</v>
      </c>
      <c r="E119" s="113">
        <f t="shared" si="22"/>
        <v>0</v>
      </c>
      <c r="F119" s="113">
        <f t="shared" si="24"/>
        <v>0</v>
      </c>
      <c r="G119" s="113">
        <f t="shared" ref="G119:G127" si="26">F118+G17-G68</f>
        <v>0</v>
      </c>
      <c r="H119" s="113">
        <f t="shared" ref="H119:T119" si="27">G118+H17-H68</f>
        <v>0</v>
      </c>
      <c r="I119" s="113">
        <f t="shared" si="27"/>
        <v>0</v>
      </c>
      <c r="J119" s="113">
        <f t="shared" si="27"/>
        <v>0</v>
      </c>
      <c r="K119" s="113">
        <f t="shared" si="27"/>
        <v>0</v>
      </c>
      <c r="L119" s="113">
        <f t="shared" si="27"/>
        <v>4</v>
      </c>
      <c r="M119" s="113">
        <f t="shared" si="27"/>
        <v>0</v>
      </c>
      <c r="N119" s="113">
        <f t="shared" si="27"/>
        <v>0</v>
      </c>
      <c r="O119" s="113">
        <f t="shared" si="27"/>
        <v>0</v>
      </c>
      <c r="P119" s="113">
        <f t="shared" si="27"/>
        <v>0</v>
      </c>
      <c r="Q119" s="113">
        <f t="shared" si="27"/>
        <v>0</v>
      </c>
      <c r="R119" s="113">
        <f t="shared" si="27"/>
        <v>0</v>
      </c>
      <c r="S119" s="113">
        <f t="shared" si="27"/>
        <v>0</v>
      </c>
      <c r="T119" s="114">
        <f t="shared" si="27"/>
        <v>4</v>
      </c>
      <c r="U119" s="114">
        <f t="shared" ref="U119:U127" si="28">+T118</f>
        <v>0</v>
      </c>
    </row>
    <row r="120" spans="1:21">
      <c r="C120" s="110">
        <v>3</v>
      </c>
      <c r="D120" s="108" t="s">
        <v>91</v>
      </c>
      <c r="E120" s="113">
        <f t="shared" si="22"/>
        <v>0</v>
      </c>
      <c r="F120" s="113">
        <f t="shared" si="24"/>
        <v>0</v>
      </c>
      <c r="G120" s="113">
        <f t="shared" si="26"/>
        <v>0</v>
      </c>
      <c r="H120" s="113">
        <f t="shared" ref="H120:T120" si="29">G119+H18-H69</f>
        <v>0</v>
      </c>
      <c r="I120" s="113">
        <f t="shared" si="29"/>
        <v>0</v>
      </c>
      <c r="J120" s="113">
        <f t="shared" si="29"/>
        <v>0</v>
      </c>
      <c r="K120" s="113">
        <f t="shared" si="29"/>
        <v>0</v>
      </c>
      <c r="L120" s="113">
        <f t="shared" si="29"/>
        <v>0</v>
      </c>
      <c r="M120" s="113">
        <f t="shared" si="29"/>
        <v>4</v>
      </c>
      <c r="N120" s="113">
        <f t="shared" si="29"/>
        <v>0</v>
      </c>
      <c r="O120" s="113">
        <f t="shared" si="29"/>
        <v>0</v>
      </c>
      <c r="P120" s="113">
        <f t="shared" si="29"/>
        <v>0</v>
      </c>
      <c r="Q120" s="113">
        <f t="shared" si="29"/>
        <v>0</v>
      </c>
      <c r="R120" s="113">
        <f t="shared" si="29"/>
        <v>0</v>
      </c>
      <c r="S120" s="113">
        <f t="shared" si="29"/>
        <v>0</v>
      </c>
      <c r="T120" s="114">
        <f t="shared" si="29"/>
        <v>0</v>
      </c>
      <c r="U120" s="114">
        <f t="shared" si="28"/>
        <v>4</v>
      </c>
    </row>
    <row r="121" spans="1:21">
      <c r="C121" s="110">
        <v>4</v>
      </c>
      <c r="D121" s="108" t="s">
        <v>92</v>
      </c>
      <c r="E121" s="113">
        <f t="shared" si="22"/>
        <v>0</v>
      </c>
      <c r="F121" s="113">
        <f t="shared" si="24"/>
        <v>0</v>
      </c>
      <c r="G121" s="113">
        <f t="shared" si="26"/>
        <v>0</v>
      </c>
      <c r="H121" s="113">
        <f t="shared" ref="H121:T121" si="30">G120+H19-H70</f>
        <v>0</v>
      </c>
      <c r="I121" s="113">
        <f t="shared" si="30"/>
        <v>0</v>
      </c>
      <c r="J121" s="113">
        <f t="shared" si="30"/>
        <v>0</v>
      </c>
      <c r="K121" s="113">
        <f t="shared" si="30"/>
        <v>0</v>
      </c>
      <c r="L121" s="113">
        <f t="shared" si="30"/>
        <v>0</v>
      </c>
      <c r="M121" s="113">
        <f t="shared" si="30"/>
        <v>0</v>
      </c>
      <c r="N121" s="113">
        <f t="shared" si="30"/>
        <v>4</v>
      </c>
      <c r="O121" s="113">
        <f t="shared" si="30"/>
        <v>0</v>
      </c>
      <c r="P121" s="113">
        <f t="shared" si="30"/>
        <v>0</v>
      </c>
      <c r="Q121" s="113">
        <f t="shared" si="30"/>
        <v>0</v>
      </c>
      <c r="R121" s="113">
        <f t="shared" si="30"/>
        <v>0</v>
      </c>
      <c r="S121" s="113">
        <f t="shared" si="30"/>
        <v>0</v>
      </c>
      <c r="T121" s="114">
        <f t="shared" si="30"/>
        <v>0</v>
      </c>
      <c r="U121" s="114">
        <f t="shared" si="28"/>
        <v>0</v>
      </c>
    </row>
    <row r="122" spans="1:21">
      <c r="C122" s="110">
        <v>5</v>
      </c>
      <c r="D122" s="108" t="s">
        <v>93</v>
      </c>
      <c r="E122" s="113">
        <f t="shared" si="22"/>
        <v>4</v>
      </c>
      <c r="F122" s="113">
        <f t="shared" si="24"/>
        <v>4</v>
      </c>
      <c r="G122" s="113">
        <f t="shared" si="26"/>
        <v>0</v>
      </c>
      <c r="H122" s="113">
        <f t="shared" ref="H122:T122" si="31">G121+H20-H71</f>
        <v>0</v>
      </c>
      <c r="I122" s="113">
        <f t="shared" si="31"/>
        <v>0</v>
      </c>
      <c r="J122" s="113">
        <f t="shared" si="31"/>
        <v>0</v>
      </c>
      <c r="K122" s="113">
        <f t="shared" si="31"/>
        <v>0</v>
      </c>
      <c r="L122" s="113">
        <f t="shared" si="31"/>
        <v>0</v>
      </c>
      <c r="M122" s="113">
        <f t="shared" si="31"/>
        <v>0</v>
      </c>
      <c r="N122" s="113">
        <f t="shared" si="31"/>
        <v>0</v>
      </c>
      <c r="O122" s="113">
        <f t="shared" si="31"/>
        <v>4</v>
      </c>
      <c r="P122" s="113">
        <f t="shared" si="31"/>
        <v>0</v>
      </c>
      <c r="Q122" s="113">
        <f t="shared" si="31"/>
        <v>0</v>
      </c>
      <c r="R122" s="113">
        <f t="shared" si="31"/>
        <v>0</v>
      </c>
      <c r="S122" s="113">
        <f t="shared" si="31"/>
        <v>0</v>
      </c>
      <c r="T122" s="114">
        <f t="shared" si="31"/>
        <v>0</v>
      </c>
      <c r="U122" s="114">
        <f t="shared" si="28"/>
        <v>0</v>
      </c>
    </row>
    <row r="123" spans="1:21">
      <c r="C123" s="110">
        <v>6</v>
      </c>
      <c r="D123" s="108" t="s">
        <v>94</v>
      </c>
      <c r="E123" s="113">
        <f t="shared" si="22"/>
        <v>0</v>
      </c>
      <c r="F123" s="113">
        <f t="shared" si="24"/>
        <v>0</v>
      </c>
      <c r="G123" s="113">
        <f t="shared" si="26"/>
        <v>4</v>
      </c>
      <c r="H123" s="113">
        <f t="shared" ref="H123:T123" si="32">G122+H21-H72</f>
        <v>0</v>
      </c>
      <c r="I123" s="113">
        <f t="shared" si="32"/>
        <v>0</v>
      </c>
      <c r="J123" s="113">
        <f t="shared" si="32"/>
        <v>0</v>
      </c>
      <c r="K123" s="113">
        <f t="shared" si="32"/>
        <v>0</v>
      </c>
      <c r="L123" s="113">
        <f t="shared" si="32"/>
        <v>0</v>
      </c>
      <c r="M123" s="113">
        <f t="shared" si="32"/>
        <v>0</v>
      </c>
      <c r="N123" s="113">
        <f t="shared" si="32"/>
        <v>0</v>
      </c>
      <c r="O123" s="113">
        <f t="shared" si="32"/>
        <v>0</v>
      </c>
      <c r="P123" s="113">
        <f t="shared" si="32"/>
        <v>4</v>
      </c>
      <c r="Q123" s="113">
        <f t="shared" si="32"/>
        <v>0</v>
      </c>
      <c r="R123" s="113">
        <f t="shared" si="32"/>
        <v>0</v>
      </c>
      <c r="S123" s="113">
        <f t="shared" si="32"/>
        <v>0</v>
      </c>
      <c r="T123" s="114">
        <f t="shared" si="32"/>
        <v>0</v>
      </c>
      <c r="U123" s="114">
        <f t="shared" si="28"/>
        <v>0</v>
      </c>
    </row>
    <row r="124" spans="1:21">
      <c r="C124" s="110">
        <v>7</v>
      </c>
      <c r="D124" s="108" t="s">
        <v>95</v>
      </c>
      <c r="E124" s="113">
        <f t="shared" si="22"/>
        <v>0</v>
      </c>
      <c r="F124" s="113">
        <f t="shared" si="24"/>
        <v>0</v>
      </c>
      <c r="G124" s="113">
        <f t="shared" si="26"/>
        <v>0</v>
      </c>
      <c r="H124" s="113">
        <f t="shared" ref="H124:T124" si="33">G123+H22-H73</f>
        <v>4</v>
      </c>
      <c r="I124" s="113">
        <f t="shared" si="33"/>
        <v>0</v>
      </c>
      <c r="J124" s="113">
        <f t="shared" si="33"/>
        <v>0</v>
      </c>
      <c r="K124" s="113">
        <f t="shared" si="33"/>
        <v>0</v>
      </c>
      <c r="L124" s="113">
        <f t="shared" si="33"/>
        <v>0</v>
      </c>
      <c r="M124" s="113">
        <f t="shared" si="33"/>
        <v>0</v>
      </c>
      <c r="N124" s="113">
        <f t="shared" si="33"/>
        <v>0</v>
      </c>
      <c r="O124" s="113">
        <f t="shared" si="33"/>
        <v>0</v>
      </c>
      <c r="P124" s="113">
        <f t="shared" si="33"/>
        <v>0</v>
      </c>
      <c r="Q124" s="113">
        <f t="shared" si="33"/>
        <v>4</v>
      </c>
      <c r="R124" s="113">
        <f t="shared" si="33"/>
        <v>0</v>
      </c>
      <c r="S124" s="113">
        <f t="shared" si="33"/>
        <v>0</v>
      </c>
      <c r="T124" s="114">
        <f t="shared" si="33"/>
        <v>0</v>
      </c>
      <c r="U124" s="114">
        <f t="shared" si="28"/>
        <v>0</v>
      </c>
    </row>
    <row r="125" spans="1:21">
      <c r="C125" s="121">
        <v>8</v>
      </c>
      <c r="D125" s="122" t="s">
        <v>96</v>
      </c>
      <c r="E125" s="119">
        <f t="shared" si="22"/>
        <v>0</v>
      </c>
      <c r="F125" s="119">
        <f t="shared" si="24"/>
        <v>0</v>
      </c>
      <c r="G125" s="119">
        <f t="shared" si="26"/>
        <v>0</v>
      </c>
      <c r="H125" s="119">
        <f t="shared" ref="H125:T125" si="34">G124+H23-H74</f>
        <v>0</v>
      </c>
      <c r="I125" s="119">
        <f t="shared" si="34"/>
        <v>4</v>
      </c>
      <c r="J125" s="119">
        <f t="shared" si="34"/>
        <v>0</v>
      </c>
      <c r="K125" s="119">
        <f t="shared" si="34"/>
        <v>0</v>
      </c>
      <c r="L125" s="119">
        <f t="shared" si="34"/>
        <v>0</v>
      </c>
      <c r="M125" s="119">
        <f t="shared" si="34"/>
        <v>0</v>
      </c>
      <c r="N125" s="119">
        <f t="shared" si="34"/>
        <v>0</v>
      </c>
      <c r="O125" s="119">
        <f t="shared" si="34"/>
        <v>0</v>
      </c>
      <c r="P125" s="119">
        <f t="shared" si="34"/>
        <v>0</v>
      </c>
      <c r="Q125" s="119">
        <f t="shared" si="34"/>
        <v>0</v>
      </c>
      <c r="R125" s="119">
        <f t="shared" si="34"/>
        <v>0</v>
      </c>
      <c r="S125" s="119">
        <f t="shared" si="34"/>
        <v>0</v>
      </c>
      <c r="T125" s="120">
        <f t="shared" si="34"/>
        <v>0</v>
      </c>
      <c r="U125" s="120">
        <f t="shared" si="28"/>
        <v>0</v>
      </c>
    </row>
    <row r="126" spans="1:21">
      <c r="C126" s="121">
        <v>9</v>
      </c>
      <c r="D126" s="122" t="s">
        <v>97</v>
      </c>
      <c r="E126" s="119">
        <f t="shared" si="22"/>
        <v>0</v>
      </c>
      <c r="F126" s="119">
        <f t="shared" si="24"/>
        <v>0</v>
      </c>
      <c r="G126" s="119">
        <f t="shared" si="26"/>
        <v>0</v>
      </c>
      <c r="H126" s="119">
        <f t="shared" ref="H126:T126" si="35">G125+H24-H75</f>
        <v>0</v>
      </c>
      <c r="I126" s="119">
        <f t="shared" si="35"/>
        <v>0</v>
      </c>
      <c r="J126" s="119">
        <f t="shared" si="35"/>
        <v>0</v>
      </c>
      <c r="K126" s="119">
        <f t="shared" si="35"/>
        <v>0</v>
      </c>
      <c r="L126" s="119">
        <f t="shared" si="35"/>
        <v>0</v>
      </c>
      <c r="M126" s="119">
        <f t="shared" si="35"/>
        <v>0</v>
      </c>
      <c r="N126" s="119">
        <f t="shared" si="35"/>
        <v>0</v>
      </c>
      <c r="O126" s="119">
        <f t="shared" si="35"/>
        <v>0</v>
      </c>
      <c r="P126" s="119">
        <f t="shared" si="35"/>
        <v>0</v>
      </c>
      <c r="Q126" s="119">
        <f t="shared" si="35"/>
        <v>0</v>
      </c>
      <c r="R126" s="119">
        <f t="shared" si="35"/>
        <v>0</v>
      </c>
      <c r="S126" s="119">
        <f t="shared" si="35"/>
        <v>0</v>
      </c>
      <c r="T126" s="120">
        <f t="shared" si="35"/>
        <v>0</v>
      </c>
      <c r="U126" s="120">
        <f t="shared" si="28"/>
        <v>0</v>
      </c>
    </row>
    <row r="127" spans="1:21">
      <c r="C127" s="121">
        <v>10</v>
      </c>
      <c r="D127" s="123" t="s">
        <v>98</v>
      </c>
      <c r="E127" s="119">
        <f t="shared" si="22"/>
        <v>0</v>
      </c>
      <c r="F127" s="119">
        <f t="shared" si="24"/>
        <v>0</v>
      </c>
      <c r="G127" s="119">
        <f t="shared" si="26"/>
        <v>0</v>
      </c>
      <c r="H127" s="119">
        <f t="shared" ref="H127:T127" si="36">G126+H25-H76</f>
        <v>0</v>
      </c>
      <c r="I127" s="119">
        <f t="shared" si="36"/>
        <v>0</v>
      </c>
      <c r="J127" s="119">
        <f t="shared" si="36"/>
        <v>0</v>
      </c>
      <c r="K127" s="119">
        <f t="shared" si="36"/>
        <v>0</v>
      </c>
      <c r="L127" s="119">
        <f t="shared" si="36"/>
        <v>0</v>
      </c>
      <c r="M127" s="119">
        <f t="shared" si="36"/>
        <v>0</v>
      </c>
      <c r="N127" s="119">
        <f t="shared" si="36"/>
        <v>0</v>
      </c>
      <c r="O127" s="119">
        <f t="shared" si="36"/>
        <v>0</v>
      </c>
      <c r="P127" s="119">
        <f t="shared" si="36"/>
        <v>0</v>
      </c>
      <c r="Q127" s="119">
        <f t="shared" si="36"/>
        <v>0</v>
      </c>
      <c r="R127" s="119">
        <f t="shared" si="36"/>
        <v>0</v>
      </c>
      <c r="S127" s="119">
        <f t="shared" si="36"/>
        <v>0</v>
      </c>
      <c r="T127" s="120">
        <f t="shared" si="36"/>
        <v>0</v>
      </c>
      <c r="U127" s="120">
        <f t="shared" si="28"/>
        <v>0</v>
      </c>
    </row>
    <row r="128" spans="1:21" s="4" customFormat="1">
      <c r="C128" s="111" t="s">
        <v>88</v>
      </c>
      <c r="D128" s="112"/>
      <c r="E128" s="117">
        <f t="shared" ref="E128:U128" si="37">SUM(E117:E127)</f>
        <v>4</v>
      </c>
      <c r="F128" s="117">
        <f t="shared" si="37"/>
        <v>4</v>
      </c>
      <c r="G128" s="117">
        <f t="shared" si="37"/>
        <v>4</v>
      </c>
      <c r="H128" s="117">
        <f t="shared" si="37"/>
        <v>4</v>
      </c>
      <c r="I128" s="117">
        <f t="shared" si="37"/>
        <v>4</v>
      </c>
      <c r="J128" s="117">
        <f t="shared" si="37"/>
        <v>4</v>
      </c>
      <c r="K128" s="117">
        <f t="shared" si="37"/>
        <v>4</v>
      </c>
      <c r="L128" s="117">
        <f t="shared" si="37"/>
        <v>4</v>
      </c>
      <c r="M128" s="117">
        <f t="shared" si="37"/>
        <v>4</v>
      </c>
      <c r="N128" s="117">
        <f t="shared" si="37"/>
        <v>4</v>
      </c>
      <c r="O128" s="117">
        <f t="shared" si="37"/>
        <v>4</v>
      </c>
      <c r="P128" s="117">
        <f t="shared" si="37"/>
        <v>4</v>
      </c>
      <c r="Q128" s="117">
        <f t="shared" si="37"/>
        <v>4</v>
      </c>
      <c r="R128" s="117">
        <f t="shared" si="37"/>
        <v>4</v>
      </c>
      <c r="S128" s="117">
        <f t="shared" si="37"/>
        <v>4</v>
      </c>
      <c r="T128" s="118">
        <f t="shared" si="37"/>
        <v>4</v>
      </c>
      <c r="U128" s="118">
        <f t="shared" si="37"/>
        <v>4</v>
      </c>
    </row>
    <row r="129" spans="1:21" s="4" customFormat="1">
      <c r="C129" s="111" t="str">
        <f>"Idade Média - "&amp;VLOOKUP(A115,TIPOLOGIA!$D$10:$E$12,2,0)</f>
        <v>Idade Média - MICROÔNIBUS</v>
      </c>
      <c r="D129" s="112"/>
      <c r="E129" s="124">
        <f t="shared" ref="E129:U129" si="38">IFERROR(SUMPRODUCT($C117:$C127,E117:E127)/E128,"-")</f>
        <v>5</v>
      </c>
      <c r="F129" s="124">
        <f t="shared" si="38"/>
        <v>5</v>
      </c>
      <c r="G129" s="124">
        <f t="shared" si="38"/>
        <v>6</v>
      </c>
      <c r="H129" s="124">
        <f t="shared" si="38"/>
        <v>7</v>
      </c>
      <c r="I129" s="124">
        <f t="shared" si="38"/>
        <v>8</v>
      </c>
      <c r="J129" s="124">
        <f t="shared" si="38"/>
        <v>0</v>
      </c>
      <c r="K129" s="124">
        <f t="shared" si="38"/>
        <v>1</v>
      </c>
      <c r="L129" s="124">
        <f t="shared" si="38"/>
        <v>2</v>
      </c>
      <c r="M129" s="124">
        <f t="shared" si="38"/>
        <v>3</v>
      </c>
      <c r="N129" s="124">
        <f t="shared" si="38"/>
        <v>4</v>
      </c>
      <c r="O129" s="124">
        <f t="shared" si="38"/>
        <v>5</v>
      </c>
      <c r="P129" s="124">
        <f t="shared" si="38"/>
        <v>6</v>
      </c>
      <c r="Q129" s="124">
        <f t="shared" si="38"/>
        <v>7</v>
      </c>
      <c r="R129" s="124">
        <f t="shared" si="38"/>
        <v>0</v>
      </c>
      <c r="S129" s="124">
        <f t="shared" si="38"/>
        <v>1</v>
      </c>
      <c r="T129" s="160">
        <f t="shared" si="38"/>
        <v>2</v>
      </c>
      <c r="U129" s="160">
        <f t="shared" si="38"/>
        <v>3</v>
      </c>
    </row>
    <row r="131" spans="1:21" ht="15.75">
      <c r="A131" s="2">
        <v>2</v>
      </c>
      <c r="C131" s="718" t="str">
        <f>"7.1.3.2 - "&amp;VLOOKUP(A131,TIPOLOGIA!$D$10:$E$12,2,0)</f>
        <v>7.1.3.2 - CONVENCIONAL</v>
      </c>
      <c r="D131" s="718"/>
      <c r="E131" s="718"/>
      <c r="F131" s="718"/>
    </row>
    <row r="132" spans="1:21" ht="18" customHeight="1">
      <c r="C132" s="705" t="s">
        <v>86</v>
      </c>
      <c r="D132" s="719"/>
      <c r="E132" s="105" t="s">
        <v>99</v>
      </c>
      <c r="F132" s="106">
        <v>1</v>
      </c>
      <c r="G132" s="106">
        <f t="shared" ref="G132:T132" si="39">+F132+1</f>
        <v>2</v>
      </c>
      <c r="H132" s="106">
        <f t="shared" si="39"/>
        <v>3</v>
      </c>
      <c r="I132" s="106">
        <f t="shared" si="39"/>
        <v>4</v>
      </c>
      <c r="J132" s="106">
        <f t="shared" si="39"/>
        <v>5</v>
      </c>
      <c r="K132" s="106">
        <f t="shared" si="39"/>
        <v>6</v>
      </c>
      <c r="L132" s="106">
        <f t="shared" si="39"/>
        <v>7</v>
      </c>
      <c r="M132" s="106">
        <f t="shared" si="39"/>
        <v>8</v>
      </c>
      <c r="N132" s="106">
        <f t="shared" si="39"/>
        <v>9</v>
      </c>
      <c r="O132" s="106">
        <f t="shared" si="39"/>
        <v>10</v>
      </c>
      <c r="P132" s="106">
        <f t="shared" si="39"/>
        <v>11</v>
      </c>
      <c r="Q132" s="106">
        <f t="shared" si="39"/>
        <v>12</v>
      </c>
      <c r="R132" s="106">
        <f t="shared" si="39"/>
        <v>13</v>
      </c>
      <c r="S132" s="106">
        <f t="shared" si="39"/>
        <v>14</v>
      </c>
      <c r="T132" s="107">
        <f t="shared" si="39"/>
        <v>15</v>
      </c>
      <c r="U132" s="107" t="s">
        <v>222</v>
      </c>
    </row>
    <row r="133" spans="1:21">
      <c r="C133" s="110">
        <v>0</v>
      </c>
      <c r="D133" s="108" t="s">
        <v>87</v>
      </c>
      <c r="E133" s="113">
        <f t="shared" ref="E133:E143" si="40">E31-E82</f>
        <v>0</v>
      </c>
      <c r="F133" s="113">
        <f>E133+F31-F82</f>
        <v>0</v>
      </c>
      <c r="G133" s="113">
        <f>G31-G82</f>
        <v>3</v>
      </c>
      <c r="H133" s="113">
        <f t="shared" ref="H133:T133" si="41">H31-H82</f>
        <v>2</v>
      </c>
      <c r="I133" s="113">
        <f t="shared" si="41"/>
        <v>2</v>
      </c>
      <c r="J133" s="113">
        <f t="shared" si="41"/>
        <v>3</v>
      </c>
      <c r="K133" s="113">
        <f t="shared" si="41"/>
        <v>0</v>
      </c>
      <c r="L133" s="113">
        <f t="shared" si="41"/>
        <v>0</v>
      </c>
      <c r="M133" s="113">
        <f t="shared" si="41"/>
        <v>0</v>
      </c>
      <c r="N133" s="113">
        <f t="shared" si="41"/>
        <v>1</v>
      </c>
      <c r="O133" s="113">
        <f t="shared" si="41"/>
        <v>1</v>
      </c>
      <c r="P133" s="113">
        <f t="shared" si="41"/>
        <v>3</v>
      </c>
      <c r="Q133" s="113">
        <f t="shared" si="41"/>
        <v>2</v>
      </c>
      <c r="R133" s="113">
        <f t="shared" si="41"/>
        <v>3</v>
      </c>
      <c r="S133" s="113">
        <f t="shared" si="41"/>
        <v>0</v>
      </c>
      <c r="T133" s="114">
        <f t="shared" si="41"/>
        <v>0</v>
      </c>
      <c r="U133" s="114">
        <f>+T133</f>
        <v>0</v>
      </c>
    </row>
    <row r="134" spans="1:21">
      <c r="C134" s="110">
        <v>1</v>
      </c>
      <c r="D134" s="108" t="s">
        <v>89</v>
      </c>
      <c r="E134" s="113">
        <f t="shared" si="40"/>
        <v>0</v>
      </c>
      <c r="F134" s="113">
        <f t="shared" ref="F134:F143" si="42">E134+F32-F83</f>
        <v>0</v>
      </c>
      <c r="G134" s="113">
        <f>F133+G32-G83</f>
        <v>0</v>
      </c>
      <c r="H134" s="113">
        <f t="shared" ref="H134:T134" si="43">G133+H32-H83</f>
        <v>3</v>
      </c>
      <c r="I134" s="113">
        <f t="shared" si="43"/>
        <v>2</v>
      </c>
      <c r="J134" s="113">
        <f t="shared" si="43"/>
        <v>2</v>
      </c>
      <c r="K134" s="113">
        <f t="shared" si="43"/>
        <v>3</v>
      </c>
      <c r="L134" s="113">
        <f t="shared" si="43"/>
        <v>0</v>
      </c>
      <c r="M134" s="113">
        <f t="shared" si="43"/>
        <v>0</v>
      </c>
      <c r="N134" s="113">
        <f t="shared" si="43"/>
        <v>0</v>
      </c>
      <c r="O134" s="113">
        <f t="shared" si="43"/>
        <v>1</v>
      </c>
      <c r="P134" s="113">
        <f t="shared" si="43"/>
        <v>1</v>
      </c>
      <c r="Q134" s="113">
        <f t="shared" si="43"/>
        <v>3</v>
      </c>
      <c r="R134" s="113">
        <f t="shared" si="43"/>
        <v>2</v>
      </c>
      <c r="S134" s="113">
        <f t="shared" si="43"/>
        <v>3</v>
      </c>
      <c r="T134" s="114">
        <f t="shared" si="43"/>
        <v>0</v>
      </c>
      <c r="U134" s="114">
        <f>+T133</f>
        <v>0</v>
      </c>
    </row>
    <row r="135" spans="1:21">
      <c r="C135" s="110">
        <v>2</v>
      </c>
      <c r="D135" s="108" t="s">
        <v>90</v>
      </c>
      <c r="E135" s="113">
        <f t="shared" si="40"/>
        <v>0</v>
      </c>
      <c r="F135" s="113">
        <f t="shared" si="42"/>
        <v>0</v>
      </c>
      <c r="G135" s="113">
        <f t="shared" ref="G135:T135" si="44">F134+G33-G84</f>
        <v>0</v>
      </c>
      <c r="H135" s="113">
        <f t="shared" si="44"/>
        <v>0</v>
      </c>
      <c r="I135" s="113">
        <f t="shared" si="44"/>
        <v>3</v>
      </c>
      <c r="J135" s="113">
        <f t="shared" si="44"/>
        <v>2</v>
      </c>
      <c r="K135" s="113">
        <f t="shared" si="44"/>
        <v>2</v>
      </c>
      <c r="L135" s="113">
        <f t="shared" si="44"/>
        <v>3</v>
      </c>
      <c r="M135" s="113">
        <f t="shared" si="44"/>
        <v>0</v>
      </c>
      <c r="N135" s="113">
        <f t="shared" si="44"/>
        <v>0</v>
      </c>
      <c r="O135" s="113">
        <f t="shared" si="44"/>
        <v>0</v>
      </c>
      <c r="P135" s="113">
        <f t="shared" si="44"/>
        <v>1</v>
      </c>
      <c r="Q135" s="113">
        <f t="shared" si="44"/>
        <v>1</v>
      </c>
      <c r="R135" s="113">
        <f t="shared" si="44"/>
        <v>3</v>
      </c>
      <c r="S135" s="113">
        <f t="shared" si="44"/>
        <v>2</v>
      </c>
      <c r="T135" s="114">
        <f t="shared" si="44"/>
        <v>3</v>
      </c>
      <c r="U135" s="114">
        <f t="shared" ref="U135:U143" si="45">+T134</f>
        <v>0</v>
      </c>
    </row>
    <row r="136" spans="1:21">
      <c r="C136" s="110">
        <v>3</v>
      </c>
      <c r="D136" s="108" t="s">
        <v>91</v>
      </c>
      <c r="E136" s="113">
        <f t="shared" si="40"/>
        <v>0</v>
      </c>
      <c r="F136" s="113">
        <f t="shared" si="42"/>
        <v>0</v>
      </c>
      <c r="G136" s="113">
        <f t="shared" ref="G136:T136" si="46">F135+G34-G85</f>
        <v>0</v>
      </c>
      <c r="H136" s="113">
        <f t="shared" si="46"/>
        <v>0</v>
      </c>
      <c r="I136" s="113">
        <f t="shared" si="46"/>
        <v>0</v>
      </c>
      <c r="J136" s="113">
        <f t="shared" si="46"/>
        <v>3</v>
      </c>
      <c r="K136" s="113">
        <f t="shared" si="46"/>
        <v>2</v>
      </c>
      <c r="L136" s="113">
        <f t="shared" si="46"/>
        <v>2</v>
      </c>
      <c r="M136" s="113">
        <f t="shared" si="46"/>
        <v>3</v>
      </c>
      <c r="N136" s="113">
        <f t="shared" si="46"/>
        <v>0</v>
      </c>
      <c r="O136" s="113">
        <f t="shared" si="46"/>
        <v>0</v>
      </c>
      <c r="P136" s="113">
        <f t="shared" si="46"/>
        <v>0</v>
      </c>
      <c r="Q136" s="113">
        <f t="shared" si="46"/>
        <v>1</v>
      </c>
      <c r="R136" s="113">
        <f t="shared" si="46"/>
        <v>1</v>
      </c>
      <c r="S136" s="113">
        <f t="shared" si="46"/>
        <v>3</v>
      </c>
      <c r="T136" s="114">
        <f t="shared" si="46"/>
        <v>2</v>
      </c>
      <c r="U136" s="114">
        <f t="shared" si="45"/>
        <v>3</v>
      </c>
    </row>
    <row r="137" spans="1:21">
      <c r="C137" s="110">
        <v>4</v>
      </c>
      <c r="D137" s="108" t="s">
        <v>92</v>
      </c>
      <c r="E137" s="113">
        <f t="shared" si="40"/>
        <v>0</v>
      </c>
      <c r="F137" s="113">
        <f t="shared" si="42"/>
        <v>0</v>
      </c>
      <c r="G137" s="113">
        <f t="shared" ref="G137:T137" si="47">F136+G35-G86</f>
        <v>0</v>
      </c>
      <c r="H137" s="113">
        <f t="shared" si="47"/>
        <v>0</v>
      </c>
      <c r="I137" s="113">
        <f t="shared" si="47"/>
        <v>0</v>
      </c>
      <c r="J137" s="113">
        <f t="shared" si="47"/>
        <v>0</v>
      </c>
      <c r="K137" s="113">
        <f t="shared" si="47"/>
        <v>3</v>
      </c>
      <c r="L137" s="113">
        <f t="shared" si="47"/>
        <v>2</v>
      </c>
      <c r="M137" s="113">
        <f t="shared" si="47"/>
        <v>2</v>
      </c>
      <c r="N137" s="113">
        <f t="shared" si="47"/>
        <v>3</v>
      </c>
      <c r="O137" s="113">
        <f t="shared" si="47"/>
        <v>0</v>
      </c>
      <c r="P137" s="113">
        <f t="shared" si="47"/>
        <v>0</v>
      </c>
      <c r="Q137" s="113">
        <f t="shared" si="47"/>
        <v>0</v>
      </c>
      <c r="R137" s="113">
        <f t="shared" si="47"/>
        <v>1</v>
      </c>
      <c r="S137" s="113">
        <f t="shared" si="47"/>
        <v>1</v>
      </c>
      <c r="T137" s="114">
        <f t="shared" si="47"/>
        <v>3</v>
      </c>
      <c r="U137" s="114">
        <f t="shared" si="45"/>
        <v>2</v>
      </c>
    </row>
    <row r="138" spans="1:21">
      <c r="C138" s="110">
        <v>5</v>
      </c>
      <c r="D138" s="108" t="s">
        <v>93</v>
      </c>
      <c r="E138" s="113">
        <f t="shared" si="40"/>
        <v>10</v>
      </c>
      <c r="F138" s="113">
        <f t="shared" si="42"/>
        <v>10</v>
      </c>
      <c r="G138" s="113">
        <f t="shared" ref="G138:T138" si="48">F137+G36-G87</f>
        <v>0</v>
      </c>
      <c r="H138" s="113">
        <f t="shared" si="48"/>
        <v>0</v>
      </c>
      <c r="I138" s="113">
        <f t="shared" si="48"/>
        <v>0</v>
      </c>
      <c r="J138" s="113">
        <f t="shared" si="48"/>
        <v>0</v>
      </c>
      <c r="K138" s="113">
        <f t="shared" si="48"/>
        <v>0</v>
      </c>
      <c r="L138" s="113">
        <f t="shared" si="48"/>
        <v>3</v>
      </c>
      <c r="M138" s="113">
        <f t="shared" si="48"/>
        <v>2</v>
      </c>
      <c r="N138" s="113">
        <f t="shared" si="48"/>
        <v>2</v>
      </c>
      <c r="O138" s="113">
        <f t="shared" si="48"/>
        <v>3</v>
      </c>
      <c r="P138" s="113">
        <f t="shared" si="48"/>
        <v>0</v>
      </c>
      <c r="Q138" s="113">
        <f t="shared" si="48"/>
        <v>0</v>
      </c>
      <c r="R138" s="113">
        <f t="shared" si="48"/>
        <v>0</v>
      </c>
      <c r="S138" s="113">
        <f t="shared" si="48"/>
        <v>1</v>
      </c>
      <c r="T138" s="114">
        <f t="shared" si="48"/>
        <v>1</v>
      </c>
      <c r="U138" s="114">
        <f t="shared" si="45"/>
        <v>3</v>
      </c>
    </row>
    <row r="139" spans="1:21">
      <c r="C139" s="110">
        <v>6</v>
      </c>
      <c r="D139" s="108" t="s">
        <v>94</v>
      </c>
      <c r="E139" s="113">
        <f t="shared" si="40"/>
        <v>0</v>
      </c>
      <c r="F139" s="113">
        <f t="shared" si="42"/>
        <v>0</v>
      </c>
      <c r="G139" s="113">
        <f t="shared" ref="G139:T139" si="49">F138+G37-G88</f>
        <v>7</v>
      </c>
      <c r="H139" s="113">
        <f t="shared" si="49"/>
        <v>0</v>
      </c>
      <c r="I139" s="113">
        <f t="shared" si="49"/>
        <v>0</v>
      </c>
      <c r="J139" s="113">
        <f t="shared" si="49"/>
        <v>0</v>
      </c>
      <c r="K139" s="113">
        <f t="shared" si="49"/>
        <v>0</v>
      </c>
      <c r="L139" s="113">
        <f t="shared" si="49"/>
        <v>0</v>
      </c>
      <c r="M139" s="113">
        <f t="shared" si="49"/>
        <v>3</v>
      </c>
      <c r="N139" s="113">
        <f t="shared" si="49"/>
        <v>2</v>
      </c>
      <c r="O139" s="113">
        <f t="shared" si="49"/>
        <v>2</v>
      </c>
      <c r="P139" s="113">
        <f t="shared" si="49"/>
        <v>3</v>
      </c>
      <c r="Q139" s="113">
        <f t="shared" si="49"/>
        <v>0</v>
      </c>
      <c r="R139" s="113">
        <f t="shared" si="49"/>
        <v>0</v>
      </c>
      <c r="S139" s="113">
        <f t="shared" si="49"/>
        <v>0</v>
      </c>
      <c r="T139" s="114">
        <f t="shared" si="49"/>
        <v>1</v>
      </c>
      <c r="U139" s="114">
        <f t="shared" si="45"/>
        <v>1</v>
      </c>
    </row>
    <row r="140" spans="1:21">
      <c r="C140" s="110">
        <v>7</v>
      </c>
      <c r="D140" s="108" t="s">
        <v>95</v>
      </c>
      <c r="E140" s="113">
        <f t="shared" si="40"/>
        <v>0</v>
      </c>
      <c r="F140" s="113">
        <f t="shared" si="42"/>
        <v>0</v>
      </c>
      <c r="G140" s="113">
        <f t="shared" ref="G140:T140" si="50">F139+G38-G89</f>
        <v>0</v>
      </c>
      <c r="H140" s="113">
        <f t="shared" si="50"/>
        <v>5</v>
      </c>
      <c r="I140" s="113">
        <f t="shared" si="50"/>
        <v>0</v>
      </c>
      <c r="J140" s="113">
        <f t="shared" si="50"/>
        <v>0</v>
      </c>
      <c r="K140" s="113">
        <f t="shared" si="50"/>
        <v>0</v>
      </c>
      <c r="L140" s="113">
        <f t="shared" si="50"/>
        <v>0</v>
      </c>
      <c r="M140" s="113">
        <f t="shared" si="50"/>
        <v>0</v>
      </c>
      <c r="N140" s="113">
        <f t="shared" si="50"/>
        <v>2</v>
      </c>
      <c r="O140" s="113">
        <f t="shared" si="50"/>
        <v>2</v>
      </c>
      <c r="P140" s="113">
        <f t="shared" si="50"/>
        <v>2</v>
      </c>
      <c r="Q140" s="113">
        <f t="shared" si="50"/>
        <v>3</v>
      </c>
      <c r="R140" s="113">
        <f t="shared" si="50"/>
        <v>0</v>
      </c>
      <c r="S140" s="113">
        <f t="shared" si="50"/>
        <v>0</v>
      </c>
      <c r="T140" s="114">
        <f t="shared" si="50"/>
        <v>0</v>
      </c>
      <c r="U140" s="114">
        <f t="shared" si="45"/>
        <v>1</v>
      </c>
    </row>
    <row r="141" spans="1:21">
      <c r="C141" s="121">
        <v>8</v>
      </c>
      <c r="D141" s="122" t="s">
        <v>96</v>
      </c>
      <c r="E141" s="119">
        <f t="shared" si="40"/>
        <v>0</v>
      </c>
      <c r="F141" s="119">
        <f t="shared" si="42"/>
        <v>0</v>
      </c>
      <c r="G141" s="119">
        <f t="shared" ref="G141:T141" si="51">F140+G39-G90</f>
        <v>0</v>
      </c>
      <c r="H141" s="119">
        <f t="shared" si="51"/>
        <v>0</v>
      </c>
      <c r="I141" s="119">
        <f t="shared" si="51"/>
        <v>3</v>
      </c>
      <c r="J141" s="119">
        <f t="shared" si="51"/>
        <v>0</v>
      </c>
      <c r="K141" s="119">
        <f t="shared" si="51"/>
        <v>0</v>
      </c>
      <c r="L141" s="119">
        <f t="shared" si="51"/>
        <v>0</v>
      </c>
      <c r="M141" s="119">
        <f t="shared" si="51"/>
        <v>0</v>
      </c>
      <c r="N141" s="119">
        <f t="shared" si="51"/>
        <v>0</v>
      </c>
      <c r="O141" s="119">
        <f t="shared" si="51"/>
        <v>1</v>
      </c>
      <c r="P141" s="119">
        <f t="shared" si="51"/>
        <v>0</v>
      </c>
      <c r="Q141" s="119">
        <f t="shared" si="51"/>
        <v>0</v>
      </c>
      <c r="R141" s="119">
        <f t="shared" si="51"/>
        <v>0</v>
      </c>
      <c r="S141" s="119">
        <f t="shared" si="51"/>
        <v>0</v>
      </c>
      <c r="T141" s="120">
        <f t="shared" si="51"/>
        <v>0</v>
      </c>
      <c r="U141" s="120">
        <f t="shared" si="45"/>
        <v>0</v>
      </c>
    </row>
    <row r="142" spans="1:21">
      <c r="C142" s="121">
        <v>9</v>
      </c>
      <c r="D142" s="122" t="s">
        <v>97</v>
      </c>
      <c r="E142" s="119">
        <f t="shared" si="40"/>
        <v>0</v>
      </c>
      <c r="F142" s="119">
        <f t="shared" si="42"/>
        <v>0</v>
      </c>
      <c r="G142" s="119">
        <f t="shared" ref="G142:T142" si="52">F141+G40-G91</f>
        <v>0</v>
      </c>
      <c r="H142" s="119">
        <f t="shared" si="52"/>
        <v>0</v>
      </c>
      <c r="I142" s="119">
        <f t="shared" si="52"/>
        <v>0</v>
      </c>
      <c r="J142" s="119">
        <f t="shared" si="52"/>
        <v>0</v>
      </c>
      <c r="K142" s="119">
        <f t="shared" si="52"/>
        <v>0</v>
      </c>
      <c r="L142" s="119">
        <f t="shared" si="52"/>
        <v>0</v>
      </c>
      <c r="M142" s="119">
        <f t="shared" si="52"/>
        <v>0</v>
      </c>
      <c r="N142" s="119">
        <f t="shared" si="52"/>
        <v>0</v>
      </c>
      <c r="O142" s="119">
        <f t="shared" si="52"/>
        <v>0</v>
      </c>
      <c r="P142" s="119">
        <f t="shared" si="52"/>
        <v>0</v>
      </c>
      <c r="Q142" s="119">
        <f t="shared" si="52"/>
        <v>0</v>
      </c>
      <c r="R142" s="119">
        <f t="shared" si="52"/>
        <v>0</v>
      </c>
      <c r="S142" s="119">
        <f t="shared" si="52"/>
        <v>0</v>
      </c>
      <c r="T142" s="120">
        <f t="shared" si="52"/>
        <v>0</v>
      </c>
      <c r="U142" s="120">
        <f t="shared" si="45"/>
        <v>0</v>
      </c>
    </row>
    <row r="143" spans="1:21">
      <c r="C143" s="121">
        <v>10</v>
      </c>
      <c r="D143" s="123" t="s">
        <v>98</v>
      </c>
      <c r="E143" s="119">
        <f t="shared" si="40"/>
        <v>0</v>
      </c>
      <c r="F143" s="119">
        <f t="shared" si="42"/>
        <v>0</v>
      </c>
      <c r="G143" s="119">
        <f t="shared" ref="G143:T143" si="53">F142+G41-G92</f>
        <v>0</v>
      </c>
      <c r="H143" s="119">
        <f t="shared" si="53"/>
        <v>0</v>
      </c>
      <c r="I143" s="119">
        <f t="shared" si="53"/>
        <v>0</v>
      </c>
      <c r="J143" s="119">
        <f t="shared" si="53"/>
        <v>0</v>
      </c>
      <c r="K143" s="119">
        <f t="shared" si="53"/>
        <v>0</v>
      </c>
      <c r="L143" s="119">
        <f t="shared" si="53"/>
        <v>0</v>
      </c>
      <c r="M143" s="119">
        <f t="shared" si="53"/>
        <v>0</v>
      </c>
      <c r="N143" s="119">
        <f t="shared" si="53"/>
        <v>0</v>
      </c>
      <c r="O143" s="119">
        <f t="shared" si="53"/>
        <v>0</v>
      </c>
      <c r="P143" s="119">
        <f t="shared" si="53"/>
        <v>0</v>
      </c>
      <c r="Q143" s="119">
        <f t="shared" si="53"/>
        <v>0</v>
      </c>
      <c r="R143" s="119">
        <f t="shared" si="53"/>
        <v>0</v>
      </c>
      <c r="S143" s="119">
        <f t="shared" si="53"/>
        <v>0</v>
      </c>
      <c r="T143" s="120">
        <f t="shared" si="53"/>
        <v>0</v>
      </c>
      <c r="U143" s="120">
        <f t="shared" si="45"/>
        <v>0</v>
      </c>
    </row>
    <row r="144" spans="1:21" s="4" customFormat="1">
      <c r="C144" s="111" t="s">
        <v>88</v>
      </c>
      <c r="D144" s="112"/>
      <c r="E144" s="117">
        <f t="shared" ref="E144:U144" si="54">SUM(E133:E143)</f>
        <v>10</v>
      </c>
      <c r="F144" s="117">
        <f t="shared" si="54"/>
        <v>10</v>
      </c>
      <c r="G144" s="117">
        <f t="shared" si="54"/>
        <v>10</v>
      </c>
      <c r="H144" s="117">
        <f t="shared" si="54"/>
        <v>10</v>
      </c>
      <c r="I144" s="117">
        <f t="shared" si="54"/>
        <v>10</v>
      </c>
      <c r="J144" s="117">
        <f t="shared" si="54"/>
        <v>10</v>
      </c>
      <c r="K144" s="117">
        <f t="shared" si="54"/>
        <v>10</v>
      </c>
      <c r="L144" s="117">
        <f t="shared" si="54"/>
        <v>10</v>
      </c>
      <c r="M144" s="117">
        <f t="shared" si="54"/>
        <v>10</v>
      </c>
      <c r="N144" s="117">
        <f t="shared" si="54"/>
        <v>10</v>
      </c>
      <c r="O144" s="117">
        <f t="shared" si="54"/>
        <v>10</v>
      </c>
      <c r="P144" s="117">
        <f t="shared" si="54"/>
        <v>10</v>
      </c>
      <c r="Q144" s="117">
        <f t="shared" si="54"/>
        <v>10</v>
      </c>
      <c r="R144" s="117">
        <f t="shared" si="54"/>
        <v>10</v>
      </c>
      <c r="S144" s="117">
        <f t="shared" si="54"/>
        <v>10</v>
      </c>
      <c r="T144" s="118">
        <f t="shared" si="54"/>
        <v>10</v>
      </c>
      <c r="U144" s="118">
        <f t="shared" si="54"/>
        <v>10</v>
      </c>
    </row>
    <row r="145" spans="1:21" s="4" customFormat="1">
      <c r="C145" s="111" t="str">
        <f>"Idade Média - "&amp;VLOOKUP(A131,TIPOLOGIA!$D$10:$E$12,2,0)</f>
        <v>Idade Média - CONVENCIONAL</v>
      </c>
      <c r="D145" s="112"/>
      <c r="E145" s="124">
        <f t="shared" ref="E145:U145" si="55">IFERROR(SUMPRODUCT($C133:$C143,E133:E143)/E144,"-")</f>
        <v>5</v>
      </c>
      <c r="F145" s="124">
        <f t="shared" si="55"/>
        <v>5</v>
      </c>
      <c r="G145" s="124">
        <f t="shared" si="55"/>
        <v>4.2</v>
      </c>
      <c r="H145" s="124">
        <f t="shared" si="55"/>
        <v>3.8</v>
      </c>
      <c r="I145" s="124">
        <f t="shared" si="55"/>
        <v>3.2</v>
      </c>
      <c r="J145" s="124">
        <f t="shared" si="55"/>
        <v>1.5</v>
      </c>
      <c r="K145" s="124">
        <f t="shared" si="55"/>
        <v>2.5</v>
      </c>
      <c r="L145" s="124">
        <f t="shared" si="55"/>
        <v>3.5</v>
      </c>
      <c r="M145" s="124">
        <f t="shared" si="55"/>
        <v>4.5</v>
      </c>
      <c r="N145" s="124">
        <f t="shared" si="55"/>
        <v>4.8</v>
      </c>
      <c r="O145" s="124">
        <f t="shared" si="55"/>
        <v>5</v>
      </c>
      <c r="P145" s="124">
        <f t="shared" si="55"/>
        <v>3.5</v>
      </c>
      <c r="Q145" s="124">
        <f t="shared" si="55"/>
        <v>2.9</v>
      </c>
      <c r="R145" s="124">
        <f t="shared" si="55"/>
        <v>1.5</v>
      </c>
      <c r="S145" s="124">
        <f t="shared" si="55"/>
        <v>2.5</v>
      </c>
      <c r="T145" s="160">
        <f t="shared" si="55"/>
        <v>3.5</v>
      </c>
      <c r="U145" s="160">
        <f t="shared" si="55"/>
        <v>4.5</v>
      </c>
    </row>
    <row r="147" spans="1:21" ht="15.75">
      <c r="A147" s="2">
        <v>3</v>
      </c>
      <c r="C147" s="718" t="str">
        <f>"7.1.3.3 - "&amp;VLOOKUP(A147,TIPOLOGIA!$D$10:$E$12,2,0)</f>
        <v>7.1.3.3 - -</v>
      </c>
      <c r="D147" s="718"/>
      <c r="E147" s="718"/>
      <c r="F147" s="718"/>
    </row>
    <row r="148" spans="1:21" ht="18" customHeight="1">
      <c r="C148" s="705" t="s">
        <v>86</v>
      </c>
      <c r="D148" s="719"/>
      <c r="E148" s="105" t="s">
        <v>99</v>
      </c>
      <c r="F148" s="106">
        <v>1</v>
      </c>
      <c r="G148" s="106">
        <f t="shared" ref="G148:T148" si="56">+F148+1</f>
        <v>2</v>
      </c>
      <c r="H148" s="106">
        <f t="shared" si="56"/>
        <v>3</v>
      </c>
      <c r="I148" s="106">
        <f t="shared" si="56"/>
        <v>4</v>
      </c>
      <c r="J148" s="106">
        <f t="shared" si="56"/>
        <v>5</v>
      </c>
      <c r="K148" s="106">
        <f t="shared" si="56"/>
        <v>6</v>
      </c>
      <c r="L148" s="106">
        <f t="shared" si="56"/>
        <v>7</v>
      </c>
      <c r="M148" s="106">
        <f t="shared" si="56"/>
        <v>8</v>
      </c>
      <c r="N148" s="106">
        <f t="shared" si="56"/>
        <v>9</v>
      </c>
      <c r="O148" s="106">
        <f t="shared" si="56"/>
        <v>10</v>
      </c>
      <c r="P148" s="106">
        <f t="shared" si="56"/>
        <v>11</v>
      </c>
      <c r="Q148" s="106">
        <f t="shared" si="56"/>
        <v>12</v>
      </c>
      <c r="R148" s="106">
        <f t="shared" si="56"/>
        <v>13</v>
      </c>
      <c r="S148" s="106">
        <f t="shared" si="56"/>
        <v>14</v>
      </c>
      <c r="T148" s="107">
        <f t="shared" si="56"/>
        <v>15</v>
      </c>
      <c r="U148" s="107" t="s">
        <v>222</v>
      </c>
    </row>
    <row r="149" spans="1:21">
      <c r="C149" s="110">
        <v>0</v>
      </c>
      <c r="D149" s="108" t="s">
        <v>87</v>
      </c>
      <c r="E149" s="113">
        <f t="shared" ref="E149:E159" si="57">E47-E98</f>
        <v>0</v>
      </c>
      <c r="F149" s="113">
        <f>E149+F47-F98</f>
        <v>0</v>
      </c>
      <c r="G149" s="113">
        <f>G47-G98</f>
        <v>0</v>
      </c>
      <c r="H149" s="113">
        <f t="shared" ref="H149:T149" si="58">H47-H98</f>
        <v>0</v>
      </c>
      <c r="I149" s="113">
        <f t="shared" si="58"/>
        <v>0</v>
      </c>
      <c r="J149" s="113">
        <f t="shared" si="58"/>
        <v>0</v>
      </c>
      <c r="K149" s="113">
        <f t="shared" si="58"/>
        <v>0</v>
      </c>
      <c r="L149" s="113">
        <f t="shared" si="58"/>
        <v>0</v>
      </c>
      <c r="M149" s="113">
        <f t="shared" si="58"/>
        <v>0</v>
      </c>
      <c r="N149" s="113">
        <f t="shared" si="58"/>
        <v>0</v>
      </c>
      <c r="O149" s="113">
        <f t="shared" si="58"/>
        <v>0</v>
      </c>
      <c r="P149" s="113">
        <f t="shared" si="58"/>
        <v>0</v>
      </c>
      <c r="Q149" s="113">
        <f t="shared" si="58"/>
        <v>0</v>
      </c>
      <c r="R149" s="113">
        <f t="shared" si="58"/>
        <v>0</v>
      </c>
      <c r="S149" s="113">
        <f t="shared" si="58"/>
        <v>0</v>
      </c>
      <c r="T149" s="114">
        <f t="shared" si="58"/>
        <v>0</v>
      </c>
      <c r="U149" s="114">
        <f>T149</f>
        <v>0</v>
      </c>
    </row>
    <row r="150" spans="1:21">
      <c r="C150" s="110">
        <v>1</v>
      </c>
      <c r="D150" s="108" t="s">
        <v>89</v>
      </c>
      <c r="E150" s="113">
        <f t="shared" si="57"/>
        <v>0</v>
      </c>
      <c r="F150" s="113">
        <f t="shared" ref="F150:F159" si="59">E150+F48-F99</f>
        <v>0</v>
      </c>
      <c r="G150" s="113">
        <f>F149+G48-G99</f>
        <v>0</v>
      </c>
      <c r="H150" s="113">
        <f t="shared" ref="H150:T150" si="60">G149+H48-H99</f>
        <v>0</v>
      </c>
      <c r="I150" s="113">
        <f t="shared" si="60"/>
        <v>0</v>
      </c>
      <c r="J150" s="113">
        <f t="shared" si="60"/>
        <v>0</v>
      </c>
      <c r="K150" s="113">
        <f t="shared" si="60"/>
        <v>0</v>
      </c>
      <c r="L150" s="113">
        <f t="shared" si="60"/>
        <v>0</v>
      </c>
      <c r="M150" s="113">
        <f t="shared" si="60"/>
        <v>0</v>
      </c>
      <c r="N150" s="113">
        <f t="shared" si="60"/>
        <v>0</v>
      </c>
      <c r="O150" s="113">
        <f t="shared" si="60"/>
        <v>0</v>
      </c>
      <c r="P150" s="113">
        <f t="shared" si="60"/>
        <v>0</v>
      </c>
      <c r="Q150" s="113">
        <f t="shared" si="60"/>
        <v>0</v>
      </c>
      <c r="R150" s="113">
        <f t="shared" si="60"/>
        <v>0</v>
      </c>
      <c r="S150" s="113">
        <f t="shared" si="60"/>
        <v>0</v>
      </c>
      <c r="T150" s="114">
        <f t="shared" si="60"/>
        <v>0</v>
      </c>
      <c r="U150" s="114">
        <f>+T149</f>
        <v>0</v>
      </c>
    </row>
    <row r="151" spans="1:21">
      <c r="C151" s="110">
        <v>2</v>
      </c>
      <c r="D151" s="108" t="s">
        <v>90</v>
      </c>
      <c r="E151" s="113">
        <f t="shared" si="57"/>
        <v>0</v>
      </c>
      <c r="F151" s="113">
        <f t="shared" si="59"/>
        <v>0</v>
      </c>
      <c r="G151" s="113">
        <f t="shared" ref="G151:T151" si="61">F150+G49-G100</f>
        <v>0</v>
      </c>
      <c r="H151" s="113">
        <f t="shared" si="61"/>
        <v>0</v>
      </c>
      <c r="I151" s="113">
        <f t="shared" si="61"/>
        <v>0</v>
      </c>
      <c r="J151" s="113">
        <f t="shared" si="61"/>
        <v>0</v>
      </c>
      <c r="K151" s="113">
        <f t="shared" si="61"/>
        <v>0</v>
      </c>
      <c r="L151" s="113">
        <f t="shared" si="61"/>
        <v>0</v>
      </c>
      <c r="M151" s="113">
        <f t="shared" si="61"/>
        <v>0</v>
      </c>
      <c r="N151" s="113">
        <f t="shared" si="61"/>
        <v>0</v>
      </c>
      <c r="O151" s="113">
        <f t="shared" si="61"/>
        <v>0</v>
      </c>
      <c r="P151" s="113">
        <f t="shared" si="61"/>
        <v>0</v>
      </c>
      <c r="Q151" s="113">
        <f t="shared" si="61"/>
        <v>0</v>
      </c>
      <c r="R151" s="113">
        <f t="shared" si="61"/>
        <v>0</v>
      </c>
      <c r="S151" s="113">
        <f t="shared" si="61"/>
        <v>0</v>
      </c>
      <c r="T151" s="114">
        <f t="shared" si="61"/>
        <v>0</v>
      </c>
      <c r="U151" s="114">
        <f t="shared" ref="U151:U159" si="62">+T150</f>
        <v>0</v>
      </c>
    </row>
    <row r="152" spans="1:21">
      <c r="C152" s="110">
        <v>3</v>
      </c>
      <c r="D152" s="108" t="s">
        <v>91</v>
      </c>
      <c r="E152" s="113">
        <f t="shared" si="57"/>
        <v>0</v>
      </c>
      <c r="F152" s="113">
        <f t="shared" si="59"/>
        <v>0</v>
      </c>
      <c r="G152" s="113">
        <f t="shared" ref="G152:T152" si="63">F151+G50-G101</f>
        <v>0</v>
      </c>
      <c r="H152" s="113">
        <f t="shared" si="63"/>
        <v>0</v>
      </c>
      <c r="I152" s="113">
        <f t="shared" si="63"/>
        <v>0</v>
      </c>
      <c r="J152" s="113">
        <f t="shared" si="63"/>
        <v>0</v>
      </c>
      <c r="K152" s="113">
        <f t="shared" si="63"/>
        <v>0</v>
      </c>
      <c r="L152" s="113">
        <f t="shared" si="63"/>
        <v>0</v>
      </c>
      <c r="M152" s="113">
        <f t="shared" si="63"/>
        <v>0</v>
      </c>
      <c r="N152" s="113">
        <f t="shared" si="63"/>
        <v>0</v>
      </c>
      <c r="O152" s="113">
        <f t="shared" si="63"/>
        <v>0</v>
      </c>
      <c r="P152" s="113">
        <f t="shared" si="63"/>
        <v>0</v>
      </c>
      <c r="Q152" s="113">
        <f t="shared" si="63"/>
        <v>0</v>
      </c>
      <c r="R152" s="113">
        <f t="shared" si="63"/>
        <v>0</v>
      </c>
      <c r="S152" s="113">
        <f t="shared" si="63"/>
        <v>0</v>
      </c>
      <c r="T152" s="114">
        <f t="shared" si="63"/>
        <v>0</v>
      </c>
      <c r="U152" s="114">
        <f t="shared" si="62"/>
        <v>0</v>
      </c>
    </row>
    <row r="153" spans="1:21">
      <c r="C153" s="110">
        <v>4</v>
      </c>
      <c r="D153" s="108" t="s">
        <v>92</v>
      </c>
      <c r="E153" s="113">
        <f t="shared" si="57"/>
        <v>0</v>
      </c>
      <c r="F153" s="113">
        <f t="shared" si="59"/>
        <v>0</v>
      </c>
      <c r="G153" s="113">
        <f t="shared" ref="G153:T153" si="64">F152+G51-G102</f>
        <v>0</v>
      </c>
      <c r="H153" s="113">
        <f t="shared" si="64"/>
        <v>0</v>
      </c>
      <c r="I153" s="113">
        <f t="shared" si="64"/>
        <v>0</v>
      </c>
      <c r="J153" s="113">
        <f t="shared" si="64"/>
        <v>0</v>
      </c>
      <c r="K153" s="113">
        <f t="shared" si="64"/>
        <v>0</v>
      </c>
      <c r="L153" s="113">
        <f t="shared" si="64"/>
        <v>0</v>
      </c>
      <c r="M153" s="113">
        <f t="shared" si="64"/>
        <v>0</v>
      </c>
      <c r="N153" s="113">
        <f t="shared" si="64"/>
        <v>0</v>
      </c>
      <c r="O153" s="113">
        <f t="shared" si="64"/>
        <v>0</v>
      </c>
      <c r="P153" s="113">
        <f t="shared" si="64"/>
        <v>0</v>
      </c>
      <c r="Q153" s="113">
        <f t="shared" si="64"/>
        <v>0</v>
      </c>
      <c r="R153" s="113">
        <f t="shared" si="64"/>
        <v>0</v>
      </c>
      <c r="S153" s="113">
        <f t="shared" si="64"/>
        <v>0</v>
      </c>
      <c r="T153" s="114">
        <f t="shared" si="64"/>
        <v>0</v>
      </c>
      <c r="U153" s="114">
        <f t="shared" si="62"/>
        <v>0</v>
      </c>
    </row>
    <row r="154" spans="1:21">
      <c r="C154" s="110">
        <v>5</v>
      </c>
      <c r="D154" s="108" t="s">
        <v>93</v>
      </c>
      <c r="E154" s="113">
        <f t="shared" si="57"/>
        <v>0</v>
      </c>
      <c r="F154" s="113">
        <f t="shared" si="59"/>
        <v>0</v>
      </c>
      <c r="G154" s="113">
        <f t="shared" ref="G154:T154" si="65">F153+G52-G103</f>
        <v>0</v>
      </c>
      <c r="H154" s="113">
        <f t="shared" si="65"/>
        <v>0</v>
      </c>
      <c r="I154" s="113">
        <f t="shared" si="65"/>
        <v>0</v>
      </c>
      <c r="J154" s="113">
        <f t="shared" si="65"/>
        <v>0</v>
      </c>
      <c r="K154" s="113">
        <f t="shared" si="65"/>
        <v>0</v>
      </c>
      <c r="L154" s="113">
        <f t="shared" si="65"/>
        <v>0</v>
      </c>
      <c r="M154" s="113">
        <f t="shared" si="65"/>
        <v>0</v>
      </c>
      <c r="N154" s="113">
        <f t="shared" si="65"/>
        <v>0</v>
      </c>
      <c r="O154" s="113">
        <f t="shared" si="65"/>
        <v>0</v>
      </c>
      <c r="P154" s="113">
        <f t="shared" si="65"/>
        <v>0</v>
      </c>
      <c r="Q154" s="113">
        <f t="shared" si="65"/>
        <v>0</v>
      </c>
      <c r="R154" s="113">
        <f t="shared" si="65"/>
        <v>0</v>
      </c>
      <c r="S154" s="113">
        <f t="shared" si="65"/>
        <v>0</v>
      </c>
      <c r="T154" s="114">
        <f t="shared" si="65"/>
        <v>0</v>
      </c>
      <c r="U154" s="114">
        <f t="shared" si="62"/>
        <v>0</v>
      </c>
    </row>
    <row r="155" spans="1:21">
      <c r="C155" s="110">
        <v>6</v>
      </c>
      <c r="D155" s="108" t="s">
        <v>94</v>
      </c>
      <c r="E155" s="113">
        <f t="shared" si="57"/>
        <v>0</v>
      </c>
      <c r="F155" s="113">
        <f t="shared" si="59"/>
        <v>0</v>
      </c>
      <c r="G155" s="113">
        <f t="shared" ref="G155:T155" si="66">F154+G53-G104</f>
        <v>0</v>
      </c>
      <c r="H155" s="113">
        <f t="shared" si="66"/>
        <v>0</v>
      </c>
      <c r="I155" s="113">
        <f t="shared" si="66"/>
        <v>0</v>
      </c>
      <c r="J155" s="113">
        <f t="shared" si="66"/>
        <v>0</v>
      </c>
      <c r="K155" s="113">
        <f t="shared" si="66"/>
        <v>0</v>
      </c>
      <c r="L155" s="113">
        <f t="shared" si="66"/>
        <v>0</v>
      </c>
      <c r="M155" s="113">
        <f t="shared" si="66"/>
        <v>0</v>
      </c>
      <c r="N155" s="113">
        <f t="shared" si="66"/>
        <v>0</v>
      </c>
      <c r="O155" s="113">
        <f t="shared" si="66"/>
        <v>0</v>
      </c>
      <c r="P155" s="113">
        <f t="shared" si="66"/>
        <v>0</v>
      </c>
      <c r="Q155" s="113">
        <f t="shared" si="66"/>
        <v>0</v>
      </c>
      <c r="R155" s="113">
        <f t="shared" si="66"/>
        <v>0</v>
      </c>
      <c r="S155" s="113">
        <f t="shared" si="66"/>
        <v>0</v>
      </c>
      <c r="T155" s="114">
        <f t="shared" si="66"/>
        <v>0</v>
      </c>
      <c r="U155" s="114">
        <f t="shared" si="62"/>
        <v>0</v>
      </c>
    </row>
    <row r="156" spans="1:21">
      <c r="C156" s="110">
        <v>7</v>
      </c>
      <c r="D156" s="108" t="s">
        <v>95</v>
      </c>
      <c r="E156" s="113">
        <f t="shared" si="57"/>
        <v>0</v>
      </c>
      <c r="F156" s="113">
        <f t="shared" si="59"/>
        <v>0</v>
      </c>
      <c r="G156" s="113">
        <f t="shared" ref="G156:T156" si="67">F155+G54-G105</f>
        <v>0</v>
      </c>
      <c r="H156" s="113">
        <f t="shared" si="67"/>
        <v>0</v>
      </c>
      <c r="I156" s="113">
        <f t="shared" si="67"/>
        <v>0</v>
      </c>
      <c r="J156" s="113">
        <f t="shared" si="67"/>
        <v>0</v>
      </c>
      <c r="K156" s="113">
        <f t="shared" si="67"/>
        <v>0</v>
      </c>
      <c r="L156" s="113">
        <f t="shared" si="67"/>
        <v>0</v>
      </c>
      <c r="M156" s="113">
        <f t="shared" si="67"/>
        <v>0</v>
      </c>
      <c r="N156" s="113">
        <f t="shared" si="67"/>
        <v>0</v>
      </c>
      <c r="O156" s="113">
        <f t="shared" si="67"/>
        <v>0</v>
      </c>
      <c r="P156" s="113">
        <f t="shared" si="67"/>
        <v>0</v>
      </c>
      <c r="Q156" s="113">
        <f t="shared" si="67"/>
        <v>0</v>
      </c>
      <c r="R156" s="113">
        <f t="shared" si="67"/>
        <v>0</v>
      </c>
      <c r="S156" s="113">
        <f t="shared" si="67"/>
        <v>0</v>
      </c>
      <c r="T156" s="114">
        <f t="shared" si="67"/>
        <v>0</v>
      </c>
      <c r="U156" s="114">
        <f t="shared" si="62"/>
        <v>0</v>
      </c>
    </row>
    <row r="157" spans="1:21">
      <c r="C157" s="110">
        <v>8</v>
      </c>
      <c r="D157" s="108" t="s">
        <v>96</v>
      </c>
      <c r="E157" s="113">
        <f t="shared" si="57"/>
        <v>0</v>
      </c>
      <c r="F157" s="113">
        <f t="shared" si="59"/>
        <v>0</v>
      </c>
      <c r="G157" s="113">
        <f t="shared" ref="G157:T157" si="68">F156+G55-G106</f>
        <v>0</v>
      </c>
      <c r="H157" s="113">
        <f t="shared" si="68"/>
        <v>0</v>
      </c>
      <c r="I157" s="113">
        <f t="shared" si="68"/>
        <v>0</v>
      </c>
      <c r="J157" s="113">
        <f t="shared" si="68"/>
        <v>0</v>
      </c>
      <c r="K157" s="113">
        <f t="shared" si="68"/>
        <v>0</v>
      </c>
      <c r="L157" s="113">
        <f t="shared" si="68"/>
        <v>0</v>
      </c>
      <c r="M157" s="113">
        <f t="shared" si="68"/>
        <v>0</v>
      </c>
      <c r="N157" s="113">
        <f t="shared" si="68"/>
        <v>0</v>
      </c>
      <c r="O157" s="113">
        <f t="shared" si="68"/>
        <v>0</v>
      </c>
      <c r="P157" s="113">
        <f t="shared" si="68"/>
        <v>0</v>
      </c>
      <c r="Q157" s="113">
        <f t="shared" si="68"/>
        <v>0</v>
      </c>
      <c r="R157" s="113">
        <f t="shared" si="68"/>
        <v>0</v>
      </c>
      <c r="S157" s="113">
        <f t="shared" si="68"/>
        <v>0</v>
      </c>
      <c r="T157" s="114">
        <f t="shared" si="68"/>
        <v>0</v>
      </c>
      <c r="U157" s="120">
        <f t="shared" si="62"/>
        <v>0</v>
      </c>
    </row>
    <row r="158" spans="1:21">
      <c r="C158" s="110">
        <v>9</v>
      </c>
      <c r="D158" s="108" t="s">
        <v>97</v>
      </c>
      <c r="E158" s="113">
        <f t="shared" si="57"/>
        <v>0</v>
      </c>
      <c r="F158" s="113">
        <f t="shared" si="59"/>
        <v>0</v>
      </c>
      <c r="G158" s="113">
        <f t="shared" ref="G158:T158" si="69">F157+G56-G107</f>
        <v>0</v>
      </c>
      <c r="H158" s="113">
        <f t="shared" si="69"/>
        <v>0</v>
      </c>
      <c r="I158" s="113">
        <f t="shared" si="69"/>
        <v>0</v>
      </c>
      <c r="J158" s="113">
        <f t="shared" si="69"/>
        <v>0</v>
      </c>
      <c r="K158" s="113">
        <f t="shared" si="69"/>
        <v>0</v>
      </c>
      <c r="L158" s="113">
        <f t="shared" si="69"/>
        <v>0</v>
      </c>
      <c r="M158" s="113">
        <f t="shared" si="69"/>
        <v>0</v>
      </c>
      <c r="N158" s="113">
        <f t="shared" si="69"/>
        <v>0</v>
      </c>
      <c r="O158" s="113">
        <f t="shared" si="69"/>
        <v>0</v>
      </c>
      <c r="P158" s="113">
        <f t="shared" si="69"/>
        <v>0</v>
      </c>
      <c r="Q158" s="113">
        <f t="shared" si="69"/>
        <v>0</v>
      </c>
      <c r="R158" s="113">
        <f t="shared" si="69"/>
        <v>0</v>
      </c>
      <c r="S158" s="113">
        <f t="shared" si="69"/>
        <v>0</v>
      </c>
      <c r="T158" s="114">
        <f t="shared" si="69"/>
        <v>0</v>
      </c>
      <c r="U158" s="120">
        <f t="shared" si="62"/>
        <v>0</v>
      </c>
    </row>
    <row r="159" spans="1:21">
      <c r="C159" s="121">
        <v>10</v>
      </c>
      <c r="D159" s="123" t="s">
        <v>98</v>
      </c>
      <c r="E159" s="119">
        <f t="shared" si="57"/>
        <v>0</v>
      </c>
      <c r="F159" s="119">
        <f t="shared" si="59"/>
        <v>0</v>
      </c>
      <c r="G159" s="119">
        <f t="shared" ref="G159:T159" si="70">F159+F158+G57-G108</f>
        <v>0</v>
      </c>
      <c r="H159" s="119">
        <f t="shared" si="70"/>
        <v>0</v>
      </c>
      <c r="I159" s="119">
        <f t="shared" si="70"/>
        <v>0</v>
      </c>
      <c r="J159" s="119">
        <f t="shared" si="70"/>
        <v>0</v>
      </c>
      <c r="K159" s="119">
        <f t="shared" si="70"/>
        <v>0</v>
      </c>
      <c r="L159" s="119">
        <f t="shared" si="70"/>
        <v>0</v>
      </c>
      <c r="M159" s="119">
        <f t="shared" si="70"/>
        <v>0</v>
      </c>
      <c r="N159" s="119">
        <f t="shared" si="70"/>
        <v>0</v>
      </c>
      <c r="O159" s="119">
        <f t="shared" si="70"/>
        <v>0</v>
      </c>
      <c r="P159" s="119">
        <f t="shared" si="70"/>
        <v>0</v>
      </c>
      <c r="Q159" s="119">
        <f t="shared" si="70"/>
        <v>0</v>
      </c>
      <c r="R159" s="119">
        <f t="shared" si="70"/>
        <v>0</v>
      </c>
      <c r="S159" s="119">
        <f t="shared" si="70"/>
        <v>0</v>
      </c>
      <c r="T159" s="126">
        <f t="shared" si="70"/>
        <v>0</v>
      </c>
      <c r="U159" s="120">
        <f t="shared" si="62"/>
        <v>0</v>
      </c>
    </row>
    <row r="160" spans="1:21" s="4" customFormat="1">
      <c r="C160" s="111" t="s">
        <v>88</v>
      </c>
      <c r="D160" s="112"/>
      <c r="E160" s="117">
        <f t="shared" ref="E160:U160" si="71">SUM(E149:E159)</f>
        <v>0</v>
      </c>
      <c r="F160" s="117">
        <f t="shared" si="71"/>
        <v>0</v>
      </c>
      <c r="G160" s="117">
        <f t="shared" si="71"/>
        <v>0</v>
      </c>
      <c r="H160" s="117">
        <f t="shared" si="71"/>
        <v>0</v>
      </c>
      <c r="I160" s="117">
        <f t="shared" si="71"/>
        <v>0</v>
      </c>
      <c r="J160" s="117">
        <f t="shared" si="71"/>
        <v>0</v>
      </c>
      <c r="K160" s="117">
        <f t="shared" si="71"/>
        <v>0</v>
      </c>
      <c r="L160" s="117">
        <f t="shared" si="71"/>
        <v>0</v>
      </c>
      <c r="M160" s="117">
        <f t="shared" si="71"/>
        <v>0</v>
      </c>
      <c r="N160" s="117">
        <f t="shared" si="71"/>
        <v>0</v>
      </c>
      <c r="O160" s="117">
        <f t="shared" si="71"/>
        <v>0</v>
      </c>
      <c r="P160" s="117">
        <f t="shared" si="71"/>
        <v>0</v>
      </c>
      <c r="Q160" s="117">
        <f t="shared" si="71"/>
        <v>0</v>
      </c>
      <c r="R160" s="117">
        <f t="shared" si="71"/>
        <v>0</v>
      </c>
      <c r="S160" s="117">
        <f t="shared" si="71"/>
        <v>0</v>
      </c>
      <c r="T160" s="118">
        <f t="shared" si="71"/>
        <v>0</v>
      </c>
      <c r="U160" s="118">
        <f t="shared" si="71"/>
        <v>0</v>
      </c>
    </row>
    <row r="161" spans="1:21" s="4" customFormat="1">
      <c r="C161" s="111" t="str">
        <f>"Idade Média - "&amp;VLOOKUP(A147,TIPOLOGIA!$D$10:$E$12,2,0)</f>
        <v>Idade Média - -</v>
      </c>
      <c r="D161" s="112"/>
      <c r="E161" s="124" t="str">
        <f t="shared" ref="E161:U161" si="72">IFERROR(SUMPRODUCT($C149:$C159,E149:E159)/E160,"-")</f>
        <v>-</v>
      </c>
      <c r="F161" s="124" t="str">
        <f t="shared" si="72"/>
        <v>-</v>
      </c>
      <c r="G161" s="124" t="str">
        <f t="shared" si="72"/>
        <v>-</v>
      </c>
      <c r="H161" s="124" t="str">
        <f t="shared" si="72"/>
        <v>-</v>
      </c>
      <c r="I161" s="124" t="str">
        <f t="shared" si="72"/>
        <v>-</v>
      </c>
      <c r="J161" s="124" t="str">
        <f t="shared" si="72"/>
        <v>-</v>
      </c>
      <c r="K161" s="124" t="str">
        <f t="shared" si="72"/>
        <v>-</v>
      </c>
      <c r="L161" s="124" t="str">
        <f t="shared" si="72"/>
        <v>-</v>
      </c>
      <c r="M161" s="124" t="str">
        <f t="shared" si="72"/>
        <v>-</v>
      </c>
      <c r="N161" s="124" t="str">
        <f t="shared" si="72"/>
        <v>-</v>
      </c>
      <c r="O161" s="124" t="str">
        <f t="shared" si="72"/>
        <v>-</v>
      </c>
      <c r="P161" s="124" t="str">
        <f t="shared" si="72"/>
        <v>-</v>
      </c>
      <c r="Q161" s="124" t="str">
        <f t="shared" si="72"/>
        <v>-</v>
      </c>
      <c r="R161" s="124" t="str">
        <f t="shared" si="72"/>
        <v>-</v>
      </c>
      <c r="S161" s="124" t="str">
        <f t="shared" si="72"/>
        <v>-</v>
      </c>
      <c r="T161" s="160" t="str">
        <f t="shared" si="72"/>
        <v>-</v>
      </c>
      <c r="U161" s="160" t="str">
        <f t="shared" si="72"/>
        <v>-</v>
      </c>
    </row>
    <row r="164" spans="1:21" ht="15.75">
      <c r="A164" s="2">
        <v>3</v>
      </c>
      <c r="C164" s="718" t="s">
        <v>104</v>
      </c>
      <c r="D164" s="718"/>
      <c r="E164" s="718"/>
      <c r="F164" s="718"/>
    </row>
    <row r="165" spans="1:21" ht="18" customHeight="1">
      <c r="C165" s="705" t="s">
        <v>86</v>
      </c>
      <c r="D165" s="719"/>
      <c r="E165" s="105" t="s">
        <v>99</v>
      </c>
      <c r="F165" s="106">
        <v>1</v>
      </c>
      <c r="G165" s="106">
        <f t="shared" ref="G165:T165" si="73">+F165+1</f>
        <v>2</v>
      </c>
      <c r="H165" s="106">
        <f t="shared" si="73"/>
        <v>3</v>
      </c>
      <c r="I165" s="106">
        <f t="shared" si="73"/>
        <v>4</v>
      </c>
      <c r="J165" s="106">
        <f t="shared" si="73"/>
        <v>5</v>
      </c>
      <c r="K165" s="106">
        <f t="shared" si="73"/>
        <v>6</v>
      </c>
      <c r="L165" s="106">
        <f t="shared" si="73"/>
        <v>7</v>
      </c>
      <c r="M165" s="106">
        <f t="shared" si="73"/>
        <v>8</v>
      </c>
      <c r="N165" s="106">
        <f t="shared" si="73"/>
        <v>9</v>
      </c>
      <c r="O165" s="106">
        <f t="shared" si="73"/>
        <v>10</v>
      </c>
      <c r="P165" s="106">
        <f t="shared" si="73"/>
        <v>11</v>
      </c>
      <c r="Q165" s="106">
        <f t="shared" si="73"/>
        <v>12</v>
      </c>
      <c r="R165" s="106">
        <f t="shared" si="73"/>
        <v>13</v>
      </c>
      <c r="S165" s="106">
        <f t="shared" si="73"/>
        <v>14</v>
      </c>
      <c r="T165" s="107">
        <f t="shared" si="73"/>
        <v>15</v>
      </c>
      <c r="U165" s="107" t="s">
        <v>222</v>
      </c>
    </row>
    <row r="166" spans="1:21">
      <c r="C166" s="110">
        <v>0</v>
      </c>
      <c r="D166" s="108" t="s">
        <v>87</v>
      </c>
      <c r="E166" s="113">
        <f>SUM(E117,E133,E149)</f>
        <v>0</v>
      </c>
      <c r="F166" s="113">
        <f t="shared" ref="F166:T166" si="74">SUM(F117,F133,F149)</f>
        <v>0</v>
      </c>
      <c r="G166" s="113">
        <f t="shared" si="74"/>
        <v>3</v>
      </c>
      <c r="H166" s="113">
        <f t="shared" si="74"/>
        <v>2</v>
      </c>
      <c r="I166" s="113">
        <f t="shared" si="74"/>
        <v>2</v>
      </c>
      <c r="J166" s="113">
        <f t="shared" si="74"/>
        <v>7</v>
      </c>
      <c r="K166" s="113">
        <f t="shared" si="74"/>
        <v>0</v>
      </c>
      <c r="L166" s="113">
        <f t="shared" si="74"/>
        <v>0</v>
      </c>
      <c r="M166" s="113">
        <f t="shared" si="74"/>
        <v>0</v>
      </c>
      <c r="N166" s="113">
        <f t="shared" si="74"/>
        <v>1</v>
      </c>
      <c r="O166" s="113">
        <f t="shared" si="74"/>
        <v>1</v>
      </c>
      <c r="P166" s="113">
        <f t="shared" si="74"/>
        <v>3</v>
      </c>
      <c r="Q166" s="113">
        <f t="shared" si="74"/>
        <v>2</v>
      </c>
      <c r="R166" s="113">
        <f t="shared" si="74"/>
        <v>7</v>
      </c>
      <c r="S166" s="113">
        <f t="shared" si="74"/>
        <v>0</v>
      </c>
      <c r="T166" s="114">
        <f t="shared" si="74"/>
        <v>0</v>
      </c>
      <c r="U166" s="114">
        <f t="shared" ref="U166" si="75">SUM(U117,U133,U149)</f>
        <v>0</v>
      </c>
    </row>
    <row r="167" spans="1:21">
      <c r="C167" s="110">
        <v>1</v>
      </c>
      <c r="D167" s="108" t="s">
        <v>89</v>
      </c>
      <c r="E167" s="113">
        <f t="shared" ref="E167:T167" si="76">SUM(E118,E134,E150)</f>
        <v>0</v>
      </c>
      <c r="F167" s="113">
        <f t="shared" si="76"/>
        <v>0</v>
      </c>
      <c r="G167" s="113">
        <f t="shared" si="76"/>
        <v>0</v>
      </c>
      <c r="H167" s="113">
        <f t="shared" si="76"/>
        <v>3</v>
      </c>
      <c r="I167" s="113">
        <f t="shared" si="76"/>
        <v>2</v>
      </c>
      <c r="J167" s="113">
        <f t="shared" si="76"/>
        <v>2</v>
      </c>
      <c r="K167" s="113">
        <f t="shared" si="76"/>
        <v>7</v>
      </c>
      <c r="L167" s="113">
        <f t="shared" si="76"/>
        <v>0</v>
      </c>
      <c r="M167" s="113">
        <f t="shared" si="76"/>
        <v>0</v>
      </c>
      <c r="N167" s="113">
        <f t="shared" si="76"/>
        <v>0</v>
      </c>
      <c r="O167" s="113">
        <f t="shared" si="76"/>
        <v>1</v>
      </c>
      <c r="P167" s="113">
        <f t="shared" si="76"/>
        <v>1</v>
      </c>
      <c r="Q167" s="113">
        <f t="shared" si="76"/>
        <v>3</v>
      </c>
      <c r="R167" s="113">
        <f t="shared" si="76"/>
        <v>2</v>
      </c>
      <c r="S167" s="113">
        <f t="shared" si="76"/>
        <v>7</v>
      </c>
      <c r="T167" s="114">
        <f t="shared" si="76"/>
        <v>0</v>
      </c>
      <c r="U167" s="114">
        <f t="shared" ref="U167" si="77">SUM(U118,U134,U150)</f>
        <v>0</v>
      </c>
    </row>
    <row r="168" spans="1:21">
      <c r="C168" s="110">
        <v>2</v>
      </c>
      <c r="D168" s="108" t="s">
        <v>90</v>
      </c>
      <c r="E168" s="113">
        <f t="shared" ref="E168:T168" si="78">SUM(E119,E135,E151)</f>
        <v>0</v>
      </c>
      <c r="F168" s="113">
        <f t="shared" si="78"/>
        <v>0</v>
      </c>
      <c r="G168" s="113">
        <f t="shared" si="78"/>
        <v>0</v>
      </c>
      <c r="H168" s="113">
        <f t="shared" si="78"/>
        <v>0</v>
      </c>
      <c r="I168" s="113">
        <f t="shared" si="78"/>
        <v>3</v>
      </c>
      <c r="J168" s="113">
        <f t="shared" si="78"/>
        <v>2</v>
      </c>
      <c r="K168" s="113">
        <f t="shared" si="78"/>
        <v>2</v>
      </c>
      <c r="L168" s="113">
        <f t="shared" si="78"/>
        <v>7</v>
      </c>
      <c r="M168" s="113">
        <f t="shared" si="78"/>
        <v>0</v>
      </c>
      <c r="N168" s="113">
        <f t="shared" si="78"/>
        <v>0</v>
      </c>
      <c r="O168" s="113">
        <f t="shared" si="78"/>
        <v>0</v>
      </c>
      <c r="P168" s="113">
        <f t="shared" si="78"/>
        <v>1</v>
      </c>
      <c r="Q168" s="113">
        <f t="shared" si="78"/>
        <v>1</v>
      </c>
      <c r="R168" s="113">
        <f t="shared" si="78"/>
        <v>3</v>
      </c>
      <c r="S168" s="113">
        <f t="shared" si="78"/>
        <v>2</v>
      </c>
      <c r="T168" s="114">
        <f t="shared" si="78"/>
        <v>7</v>
      </c>
      <c r="U168" s="114">
        <f t="shared" ref="U168" si="79">SUM(U119,U135,U151)</f>
        <v>0</v>
      </c>
    </row>
    <row r="169" spans="1:21">
      <c r="C169" s="110">
        <v>3</v>
      </c>
      <c r="D169" s="108" t="s">
        <v>91</v>
      </c>
      <c r="E169" s="113">
        <f t="shared" ref="E169:T169" si="80">SUM(E120,E136,E152)</f>
        <v>0</v>
      </c>
      <c r="F169" s="113">
        <f t="shared" si="80"/>
        <v>0</v>
      </c>
      <c r="G169" s="113">
        <f t="shared" si="80"/>
        <v>0</v>
      </c>
      <c r="H169" s="113">
        <f t="shared" si="80"/>
        <v>0</v>
      </c>
      <c r="I169" s="113">
        <f t="shared" si="80"/>
        <v>0</v>
      </c>
      <c r="J169" s="113">
        <f t="shared" si="80"/>
        <v>3</v>
      </c>
      <c r="K169" s="113">
        <f t="shared" si="80"/>
        <v>2</v>
      </c>
      <c r="L169" s="113">
        <f t="shared" si="80"/>
        <v>2</v>
      </c>
      <c r="M169" s="113">
        <f t="shared" si="80"/>
        <v>7</v>
      </c>
      <c r="N169" s="113">
        <f t="shared" si="80"/>
        <v>0</v>
      </c>
      <c r="O169" s="113">
        <f t="shared" si="80"/>
        <v>0</v>
      </c>
      <c r="P169" s="113">
        <f t="shared" si="80"/>
        <v>0</v>
      </c>
      <c r="Q169" s="113">
        <f t="shared" si="80"/>
        <v>1</v>
      </c>
      <c r="R169" s="113">
        <f t="shared" si="80"/>
        <v>1</v>
      </c>
      <c r="S169" s="113">
        <f t="shared" si="80"/>
        <v>3</v>
      </c>
      <c r="T169" s="114">
        <f t="shared" si="80"/>
        <v>2</v>
      </c>
      <c r="U169" s="114">
        <f t="shared" ref="U169" si="81">SUM(U120,U136,U152)</f>
        <v>7</v>
      </c>
    </row>
    <row r="170" spans="1:21">
      <c r="C170" s="110">
        <v>4</v>
      </c>
      <c r="D170" s="108" t="s">
        <v>92</v>
      </c>
      <c r="E170" s="113">
        <f t="shared" ref="E170:T170" si="82">SUM(E121,E137,E153)</f>
        <v>0</v>
      </c>
      <c r="F170" s="113">
        <f t="shared" si="82"/>
        <v>0</v>
      </c>
      <c r="G170" s="113">
        <f t="shared" si="82"/>
        <v>0</v>
      </c>
      <c r="H170" s="113">
        <f t="shared" si="82"/>
        <v>0</v>
      </c>
      <c r="I170" s="113">
        <f t="shared" si="82"/>
        <v>0</v>
      </c>
      <c r="J170" s="113">
        <f t="shared" si="82"/>
        <v>0</v>
      </c>
      <c r="K170" s="113">
        <f t="shared" si="82"/>
        <v>3</v>
      </c>
      <c r="L170" s="113">
        <f t="shared" si="82"/>
        <v>2</v>
      </c>
      <c r="M170" s="113">
        <f t="shared" si="82"/>
        <v>2</v>
      </c>
      <c r="N170" s="113">
        <f t="shared" si="82"/>
        <v>7</v>
      </c>
      <c r="O170" s="113">
        <f t="shared" si="82"/>
        <v>0</v>
      </c>
      <c r="P170" s="113">
        <f t="shared" si="82"/>
        <v>0</v>
      </c>
      <c r="Q170" s="113">
        <f t="shared" si="82"/>
        <v>0</v>
      </c>
      <c r="R170" s="113">
        <f t="shared" si="82"/>
        <v>1</v>
      </c>
      <c r="S170" s="113">
        <f t="shared" si="82"/>
        <v>1</v>
      </c>
      <c r="T170" s="114">
        <f t="shared" si="82"/>
        <v>3</v>
      </c>
      <c r="U170" s="114">
        <f t="shared" ref="U170" si="83">SUM(U121,U137,U153)</f>
        <v>2</v>
      </c>
    </row>
    <row r="171" spans="1:21">
      <c r="C171" s="110">
        <v>5</v>
      </c>
      <c r="D171" s="108" t="s">
        <v>93</v>
      </c>
      <c r="E171" s="113">
        <f t="shared" ref="E171:T171" si="84">SUM(E122,E138,E154)</f>
        <v>14</v>
      </c>
      <c r="F171" s="113">
        <f t="shared" si="84"/>
        <v>14</v>
      </c>
      <c r="G171" s="113">
        <f t="shared" si="84"/>
        <v>0</v>
      </c>
      <c r="H171" s="113">
        <f t="shared" si="84"/>
        <v>0</v>
      </c>
      <c r="I171" s="113">
        <f t="shared" si="84"/>
        <v>0</v>
      </c>
      <c r="J171" s="113">
        <f t="shared" si="84"/>
        <v>0</v>
      </c>
      <c r="K171" s="113">
        <f t="shared" si="84"/>
        <v>0</v>
      </c>
      <c r="L171" s="113">
        <f t="shared" si="84"/>
        <v>3</v>
      </c>
      <c r="M171" s="113">
        <f t="shared" si="84"/>
        <v>2</v>
      </c>
      <c r="N171" s="113">
        <f t="shared" si="84"/>
        <v>2</v>
      </c>
      <c r="O171" s="113">
        <f t="shared" si="84"/>
        <v>7</v>
      </c>
      <c r="P171" s="113">
        <f t="shared" si="84"/>
        <v>0</v>
      </c>
      <c r="Q171" s="113">
        <f t="shared" si="84"/>
        <v>0</v>
      </c>
      <c r="R171" s="113">
        <f t="shared" si="84"/>
        <v>0</v>
      </c>
      <c r="S171" s="113">
        <f t="shared" si="84"/>
        <v>1</v>
      </c>
      <c r="T171" s="114">
        <f t="shared" si="84"/>
        <v>1</v>
      </c>
      <c r="U171" s="114">
        <f t="shared" ref="U171" si="85">SUM(U122,U138,U154)</f>
        <v>3</v>
      </c>
    </row>
    <row r="172" spans="1:21">
      <c r="C172" s="110">
        <v>6</v>
      </c>
      <c r="D172" s="108" t="s">
        <v>94</v>
      </c>
      <c r="E172" s="113">
        <f t="shared" ref="E172:T172" si="86">SUM(E123,E139,E155)</f>
        <v>0</v>
      </c>
      <c r="F172" s="113">
        <f t="shared" si="86"/>
        <v>0</v>
      </c>
      <c r="G172" s="113">
        <f t="shared" si="86"/>
        <v>11</v>
      </c>
      <c r="H172" s="113">
        <f t="shared" si="86"/>
        <v>0</v>
      </c>
      <c r="I172" s="113">
        <f t="shared" si="86"/>
        <v>0</v>
      </c>
      <c r="J172" s="113">
        <f t="shared" si="86"/>
        <v>0</v>
      </c>
      <c r="K172" s="113">
        <f t="shared" si="86"/>
        <v>0</v>
      </c>
      <c r="L172" s="113">
        <f t="shared" si="86"/>
        <v>0</v>
      </c>
      <c r="M172" s="113">
        <f t="shared" si="86"/>
        <v>3</v>
      </c>
      <c r="N172" s="113">
        <f t="shared" si="86"/>
        <v>2</v>
      </c>
      <c r="O172" s="113">
        <f t="shared" si="86"/>
        <v>2</v>
      </c>
      <c r="P172" s="113">
        <f t="shared" si="86"/>
        <v>7</v>
      </c>
      <c r="Q172" s="113">
        <f t="shared" si="86"/>
        <v>0</v>
      </c>
      <c r="R172" s="113">
        <f t="shared" si="86"/>
        <v>0</v>
      </c>
      <c r="S172" s="113">
        <f t="shared" si="86"/>
        <v>0</v>
      </c>
      <c r="T172" s="114">
        <f t="shared" si="86"/>
        <v>1</v>
      </c>
      <c r="U172" s="114">
        <f t="shared" ref="U172" si="87">SUM(U123,U139,U155)</f>
        <v>1</v>
      </c>
    </row>
    <row r="173" spans="1:21">
      <c r="C173" s="110">
        <v>7</v>
      </c>
      <c r="D173" s="108" t="s">
        <v>95</v>
      </c>
      <c r="E173" s="113">
        <f t="shared" ref="E173:T173" si="88">SUM(E124,E140,E156)</f>
        <v>0</v>
      </c>
      <c r="F173" s="113">
        <f t="shared" si="88"/>
        <v>0</v>
      </c>
      <c r="G173" s="113">
        <f t="shared" si="88"/>
        <v>0</v>
      </c>
      <c r="H173" s="113">
        <f t="shared" si="88"/>
        <v>9</v>
      </c>
      <c r="I173" s="113">
        <f t="shared" si="88"/>
        <v>0</v>
      </c>
      <c r="J173" s="113">
        <f t="shared" si="88"/>
        <v>0</v>
      </c>
      <c r="K173" s="113">
        <f t="shared" si="88"/>
        <v>0</v>
      </c>
      <c r="L173" s="113">
        <f t="shared" si="88"/>
        <v>0</v>
      </c>
      <c r="M173" s="113">
        <f t="shared" si="88"/>
        <v>0</v>
      </c>
      <c r="N173" s="113">
        <f t="shared" si="88"/>
        <v>2</v>
      </c>
      <c r="O173" s="113">
        <f t="shared" si="88"/>
        <v>2</v>
      </c>
      <c r="P173" s="113">
        <f t="shared" si="88"/>
        <v>2</v>
      </c>
      <c r="Q173" s="113">
        <f t="shared" si="88"/>
        <v>7</v>
      </c>
      <c r="R173" s="113">
        <f t="shared" si="88"/>
        <v>0</v>
      </c>
      <c r="S173" s="113">
        <f t="shared" si="88"/>
        <v>0</v>
      </c>
      <c r="T173" s="114">
        <f t="shared" si="88"/>
        <v>0</v>
      </c>
      <c r="U173" s="114">
        <f t="shared" ref="U173" si="89">SUM(U124,U140,U156)</f>
        <v>1</v>
      </c>
    </row>
    <row r="174" spans="1:21">
      <c r="C174" s="110">
        <v>8</v>
      </c>
      <c r="D174" s="108" t="s">
        <v>96</v>
      </c>
      <c r="E174" s="113">
        <f t="shared" ref="E174:T174" si="90">SUM(E125,E141,E157)</f>
        <v>0</v>
      </c>
      <c r="F174" s="113">
        <f t="shared" si="90"/>
        <v>0</v>
      </c>
      <c r="G174" s="113">
        <f t="shared" si="90"/>
        <v>0</v>
      </c>
      <c r="H174" s="113">
        <f t="shared" si="90"/>
        <v>0</v>
      </c>
      <c r="I174" s="113">
        <f t="shared" si="90"/>
        <v>7</v>
      </c>
      <c r="J174" s="113">
        <f t="shared" si="90"/>
        <v>0</v>
      </c>
      <c r="K174" s="113">
        <f t="shared" si="90"/>
        <v>0</v>
      </c>
      <c r="L174" s="113">
        <f t="shared" si="90"/>
        <v>0</v>
      </c>
      <c r="M174" s="113">
        <f t="shared" si="90"/>
        <v>0</v>
      </c>
      <c r="N174" s="113">
        <f t="shared" si="90"/>
        <v>0</v>
      </c>
      <c r="O174" s="113">
        <f t="shared" si="90"/>
        <v>1</v>
      </c>
      <c r="P174" s="113">
        <f t="shared" si="90"/>
        <v>0</v>
      </c>
      <c r="Q174" s="113">
        <f t="shared" si="90"/>
        <v>0</v>
      </c>
      <c r="R174" s="113">
        <f t="shared" si="90"/>
        <v>0</v>
      </c>
      <c r="S174" s="113">
        <f t="shared" si="90"/>
        <v>0</v>
      </c>
      <c r="T174" s="114">
        <f t="shared" si="90"/>
        <v>0</v>
      </c>
      <c r="U174" s="114">
        <f t="shared" ref="U174" si="91">SUM(U125,U141,U157)</f>
        <v>0</v>
      </c>
    </row>
    <row r="175" spans="1:21">
      <c r="C175" s="110">
        <v>9</v>
      </c>
      <c r="D175" s="108" t="s">
        <v>97</v>
      </c>
      <c r="E175" s="113">
        <f t="shared" ref="E175:T175" si="92">SUM(E126,E142,E158)</f>
        <v>0</v>
      </c>
      <c r="F175" s="113">
        <f t="shared" si="92"/>
        <v>0</v>
      </c>
      <c r="G175" s="113">
        <f t="shared" si="92"/>
        <v>0</v>
      </c>
      <c r="H175" s="113">
        <f t="shared" si="92"/>
        <v>0</v>
      </c>
      <c r="I175" s="113">
        <f t="shared" si="92"/>
        <v>0</v>
      </c>
      <c r="J175" s="113">
        <f t="shared" si="92"/>
        <v>0</v>
      </c>
      <c r="K175" s="113">
        <f t="shared" si="92"/>
        <v>0</v>
      </c>
      <c r="L175" s="113">
        <f t="shared" si="92"/>
        <v>0</v>
      </c>
      <c r="M175" s="113">
        <f t="shared" si="92"/>
        <v>0</v>
      </c>
      <c r="N175" s="113">
        <f t="shared" si="92"/>
        <v>0</v>
      </c>
      <c r="O175" s="113">
        <f t="shared" si="92"/>
        <v>0</v>
      </c>
      <c r="P175" s="113">
        <f t="shared" si="92"/>
        <v>0</v>
      </c>
      <c r="Q175" s="113">
        <f t="shared" si="92"/>
        <v>0</v>
      </c>
      <c r="R175" s="113">
        <f t="shared" si="92"/>
        <v>0</v>
      </c>
      <c r="S175" s="113">
        <f t="shared" si="92"/>
        <v>0</v>
      </c>
      <c r="T175" s="114">
        <f t="shared" si="92"/>
        <v>0</v>
      </c>
      <c r="U175" s="114">
        <f t="shared" ref="U175" si="93">SUM(U126,U142,U158)</f>
        <v>0</v>
      </c>
    </row>
    <row r="176" spans="1:21">
      <c r="C176" s="110">
        <v>10</v>
      </c>
      <c r="D176" s="109" t="s">
        <v>98</v>
      </c>
      <c r="E176" s="113">
        <f t="shared" ref="E176:T176" si="94">SUM(E127,E143,E159)</f>
        <v>0</v>
      </c>
      <c r="F176" s="113">
        <f t="shared" si="94"/>
        <v>0</v>
      </c>
      <c r="G176" s="113">
        <f t="shared" si="94"/>
        <v>0</v>
      </c>
      <c r="H176" s="113">
        <f t="shared" si="94"/>
        <v>0</v>
      </c>
      <c r="I176" s="113">
        <f t="shared" si="94"/>
        <v>0</v>
      </c>
      <c r="J176" s="113">
        <f t="shared" si="94"/>
        <v>0</v>
      </c>
      <c r="K176" s="113">
        <f t="shared" si="94"/>
        <v>0</v>
      </c>
      <c r="L176" s="113">
        <f t="shared" si="94"/>
        <v>0</v>
      </c>
      <c r="M176" s="113">
        <f t="shared" si="94"/>
        <v>0</v>
      </c>
      <c r="N176" s="113">
        <f t="shared" si="94"/>
        <v>0</v>
      </c>
      <c r="O176" s="113">
        <f t="shared" si="94"/>
        <v>0</v>
      </c>
      <c r="P176" s="113">
        <f t="shared" si="94"/>
        <v>0</v>
      </c>
      <c r="Q176" s="113">
        <f t="shared" si="94"/>
        <v>0</v>
      </c>
      <c r="R176" s="113">
        <f t="shared" si="94"/>
        <v>0</v>
      </c>
      <c r="S176" s="113">
        <f t="shared" si="94"/>
        <v>0</v>
      </c>
      <c r="T176" s="114">
        <f t="shared" si="94"/>
        <v>0</v>
      </c>
      <c r="U176" s="114">
        <f t="shared" ref="U176" si="95">SUM(U127,U143,U159)</f>
        <v>0</v>
      </c>
    </row>
    <row r="177" spans="1:40" s="4" customFormat="1">
      <c r="C177" s="111" t="s">
        <v>88</v>
      </c>
      <c r="D177" s="112"/>
      <c r="E177" s="117">
        <f t="shared" ref="E177:T177" si="96">SUM(E166:E176)</f>
        <v>14</v>
      </c>
      <c r="F177" s="117">
        <f t="shared" si="96"/>
        <v>14</v>
      </c>
      <c r="G177" s="117">
        <f t="shared" si="96"/>
        <v>14</v>
      </c>
      <c r="H177" s="117">
        <f t="shared" si="96"/>
        <v>14</v>
      </c>
      <c r="I177" s="117">
        <f t="shared" si="96"/>
        <v>14</v>
      </c>
      <c r="J177" s="117">
        <f t="shared" si="96"/>
        <v>14</v>
      </c>
      <c r="K177" s="117">
        <f t="shared" si="96"/>
        <v>14</v>
      </c>
      <c r="L177" s="117">
        <f t="shared" si="96"/>
        <v>14</v>
      </c>
      <c r="M177" s="117">
        <f t="shared" si="96"/>
        <v>14</v>
      </c>
      <c r="N177" s="117">
        <f t="shared" si="96"/>
        <v>14</v>
      </c>
      <c r="O177" s="117">
        <f t="shared" si="96"/>
        <v>14</v>
      </c>
      <c r="P177" s="117">
        <f t="shared" si="96"/>
        <v>14</v>
      </c>
      <c r="Q177" s="117">
        <f t="shared" si="96"/>
        <v>14</v>
      </c>
      <c r="R177" s="117">
        <f t="shared" si="96"/>
        <v>14</v>
      </c>
      <c r="S177" s="117">
        <f t="shared" si="96"/>
        <v>14</v>
      </c>
      <c r="T177" s="118">
        <f t="shared" si="96"/>
        <v>14</v>
      </c>
      <c r="U177" s="118">
        <f t="shared" ref="U177" si="97">SUM(U166:U176)</f>
        <v>14</v>
      </c>
    </row>
    <row r="178" spans="1:40" s="4" customFormat="1" ht="15.75">
      <c r="C178" s="161" t="s">
        <v>105</v>
      </c>
      <c r="D178" s="162"/>
      <c r="E178" s="163">
        <f t="shared" ref="E178:T178" si="98">IFERROR(SUMPRODUCT($C166:$C176,E166:E176)/E177,"-")</f>
        <v>5</v>
      </c>
      <c r="F178" s="163">
        <f t="shared" si="98"/>
        <v>5</v>
      </c>
      <c r="G178" s="163">
        <f t="shared" si="98"/>
        <v>4.7142857142857144</v>
      </c>
      <c r="H178" s="163">
        <f t="shared" si="98"/>
        <v>4.7142857142857144</v>
      </c>
      <c r="I178" s="163">
        <f t="shared" si="98"/>
        <v>4.5714285714285712</v>
      </c>
      <c r="J178" s="163">
        <f t="shared" si="98"/>
        <v>1.0714285714285714</v>
      </c>
      <c r="K178" s="163">
        <f t="shared" si="98"/>
        <v>2.0714285714285716</v>
      </c>
      <c r="L178" s="163">
        <f t="shared" si="98"/>
        <v>3.0714285714285716</v>
      </c>
      <c r="M178" s="163">
        <f t="shared" si="98"/>
        <v>4.0714285714285712</v>
      </c>
      <c r="N178" s="163">
        <f t="shared" si="98"/>
        <v>4.5714285714285712</v>
      </c>
      <c r="O178" s="163">
        <f t="shared" si="98"/>
        <v>5</v>
      </c>
      <c r="P178" s="163">
        <f t="shared" si="98"/>
        <v>4.2142857142857144</v>
      </c>
      <c r="Q178" s="163">
        <f t="shared" si="98"/>
        <v>4.0714285714285712</v>
      </c>
      <c r="R178" s="163">
        <f t="shared" si="98"/>
        <v>1.0714285714285714</v>
      </c>
      <c r="S178" s="163">
        <f t="shared" si="98"/>
        <v>2.0714285714285716</v>
      </c>
      <c r="T178" s="164">
        <f t="shared" si="98"/>
        <v>3.0714285714285716</v>
      </c>
      <c r="U178" s="164">
        <f t="shared" ref="U178" si="99">IFERROR(SUMPRODUCT($C166:$C176,U166:U176)/U177,"-")</f>
        <v>4.0714285714285712</v>
      </c>
      <c r="Y178" s="105" t="s">
        <v>99</v>
      </c>
      <c r="Z178" s="106">
        <v>1</v>
      </c>
      <c r="AA178" s="106">
        <f t="shared" ref="AA178:AN178" si="100">+Z178+1</f>
        <v>2</v>
      </c>
      <c r="AB178" s="106">
        <f t="shared" si="100"/>
        <v>3</v>
      </c>
      <c r="AC178" s="106">
        <f t="shared" si="100"/>
        <v>4</v>
      </c>
      <c r="AD178" s="106">
        <f t="shared" si="100"/>
        <v>5</v>
      </c>
      <c r="AE178" s="106">
        <f t="shared" si="100"/>
        <v>6</v>
      </c>
      <c r="AF178" s="106">
        <f t="shared" si="100"/>
        <v>7</v>
      </c>
      <c r="AG178" s="106">
        <f t="shared" si="100"/>
        <v>8</v>
      </c>
      <c r="AH178" s="106">
        <f t="shared" si="100"/>
        <v>9</v>
      </c>
      <c r="AI178" s="106">
        <f t="shared" si="100"/>
        <v>10</v>
      </c>
      <c r="AJ178" s="106">
        <f t="shared" si="100"/>
        <v>11</v>
      </c>
      <c r="AK178" s="106">
        <f t="shared" si="100"/>
        <v>12</v>
      </c>
      <c r="AL178" s="106">
        <f t="shared" si="100"/>
        <v>13</v>
      </c>
      <c r="AM178" s="106">
        <f t="shared" si="100"/>
        <v>14</v>
      </c>
      <c r="AN178" s="107">
        <f t="shared" si="100"/>
        <v>15</v>
      </c>
    </row>
    <row r="179" spans="1:40">
      <c r="W179" s="2">
        <v>1</v>
      </c>
      <c r="X179" s="2" t="str">
        <f>"Idade Média - "&amp;VLOOKUP(W179,TIPOLOGIA!$D$10:$E$12,2,0)</f>
        <v>Idade Média - MICROÔNIBUS</v>
      </c>
      <c r="Y179" s="125">
        <f>E129</f>
        <v>5</v>
      </c>
      <c r="Z179" s="125">
        <f t="shared" ref="Z179:AN179" si="101">F129</f>
        <v>5</v>
      </c>
      <c r="AA179" s="125">
        <f t="shared" si="101"/>
        <v>6</v>
      </c>
      <c r="AB179" s="125">
        <f t="shared" si="101"/>
        <v>7</v>
      </c>
      <c r="AC179" s="125">
        <f t="shared" si="101"/>
        <v>8</v>
      </c>
      <c r="AD179" s="125">
        <f t="shared" si="101"/>
        <v>0</v>
      </c>
      <c r="AE179" s="125">
        <f t="shared" si="101"/>
        <v>1</v>
      </c>
      <c r="AF179" s="125">
        <f t="shared" si="101"/>
        <v>2</v>
      </c>
      <c r="AG179" s="125">
        <f t="shared" si="101"/>
        <v>3</v>
      </c>
      <c r="AH179" s="125">
        <f t="shared" si="101"/>
        <v>4</v>
      </c>
      <c r="AI179" s="125">
        <f t="shared" si="101"/>
        <v>5</v>
      </c>
      <c r="AJ179" s="125">
        <f t="shared" si="101"/>
        <v>6</v>
      </c>
      <c r="AK179" s="125">
        <f t="shared" si="101"/>
        <v>7</v>
      </c>
      <c r="AL179" s="125">
        <f t="shared" si="101"/>
        <v>0</v>
      </c>
      <c r="AM179" s="125">
        <f t="shared" si="101"/>
        <v>1</v>
      </c>
      <c r="AN179" s="125">
        <f t="shared" si="101"/>
        <v>2</v>
      </c>
    </row>
    <row r="180" spans="1:40">
      <c r="W180" s="2">
        <v>2</v>
      </c>
      <c r="X180" s="2" t="str">
        <f>"Idade Média - "&amp;VLOOKUP(W180,TIPOLOGIA!$D$10:$E$12,2,0)</f>
        <v>Idade Média - CONVENCIONAL</v>
      </c>
      <c r="Y180" s="125">
        <f>+E145</f>
        <v>5</v>
      </c>
      <c r="Z180" s="125">
        <f t="shared" ref="Z180:AN180" si="102">+F145</f>
        <v>5</v>
      </c>
      <c r="AA180" s="125">
        <f t="shared" si="102"/>
        <v>4.2</v>
      </c>
      <c r="AB180" s="125">
        <f t="shared" si="102"/>
        <v>3.8</v>
      </c>
      <c r="AC180" s="125">
        <f t="shared" si="102"/>
        <v>3.2</v>
      </c>
      <c r="AD180" s="125">
        <f t="shared" si="102"/>
        <v>1.5</v>
      </c>
      <c r="AE180" s="125">
        <f t="shared" si="102"/>
        <v>2.5</v>
      </c>
      <c r="AF180" s="125">
        <f t="shared" si="102"/>
        <v>3.5</v>
      </c>
      <c r="AG180" s="125">
        <f t="shared" si="102"/>
        <v>4.5</v>
      </c>
      <c r="AH180" s="125">
        <f t="shared" si="102"/>
        <v>4.8</v>
      </c>
      <c r="AI180" s="125">
        <f t="shared" si="102"/>
        <v>5</v>
      </c>
      <c r="AJ180" s="125">
        <f t="shared" si="102"/>
        <v>3.5</v>
      </c>
      <c r="AK180" s="125">
        <f t="shared" si="102"/>
        <v>2.9</v>
      </c>
      <c r="AL180" s="125">
        <f t="shared" si="102"/>
        <v>1.5</v>
      </c>
      <c r="AM180" s="125">
        <f t="shared" si="102"/>
        <v>2.5</v>
      </c>
      <c r="AN180" s="125">
        <f t="shared" si="102"/>
        <v>3.5</v>
      </c>
    </row>
    <row r="181" spans="1:40" ht="18" customHeight="1">
      <c r="B181" s="381" t="s">
        <v>110</v>
      </c>
      <c r="W181" s="2">
        <v>3</v>
      </c>
      <c r="X181" s="2" t="str">
        <f>"Idade Média - "&amp;VLOOKUP(W181,TIPOLOGIA!$D$10:$E$12,2,0)</f>
        <v>Idade Média - -</v>
      </c>
      <c r="Y181" s="125" t="str">
        <f>+E161</f>
        <v>-</v>
      </c>
      <c r="Z181" s="125" t="str">
        <f t="shared" ref="Z181:AN181" si="103">+F161</f>
        <v>-</v>
      </c>
      <c r="AA181" s="125" t="str">
        <f t="shared" si="103"/>
        <v>-</v>
      </c>
      <c r="AB181" s="125" t="str">
        <f t="shared" si="103"/>
        <v>-</v>
      </c>
      <c r="AC181" s="125" t="str">
        <f t="shared" si="103"/>
        <v>-</v>
      </c>
      <c r="AD181" s="125" t="str">
        <f t="shared" si="103"/>
        <v>-</v>
      </c>
      <c r="AE181" s="125" t="str">
        <f t="shared" si="103"/>
        <v>-</v>
      </c>
      <c r="AF181" s="125" t="str">
        <f t="shared" si="103"/>
        <v>-</v>
      </c>
      <c r="AG181" s="125" t="str">
        <f t="shared" si="103"/>
        <v>-</v>
      </c>
      <c r="AH181" s="125" t="str">
        <f t="shared" si="103"/>
        <v>-</v>
      </c>
      <c r="AI181" s="125" t="str">
        <f t="shared" si="103"/>
        <v>-</v>
      </c>
      <c r="AJ181" s="125" t="str">
        <f t="shared" si="103"/>
        <v>-</v>
      </c>
      <c r="AK181" s="125" t="str">
        <f t="shared" si="103"/>
        <v>-</v>
      </c>
      <c r="AL181" s="125" t="str">
        <f t="shared" si="103"/>
        <v>-</v>
      </c>
      <c r="AM181" s="125" t="str">
        <f t="shared" si="103"/>
        <v>-</v>
      </c>
      <c r="AN181" s="125" t="str">
        <f t="shared" si="103"/>
        <v>-</v>
      </c>
    </row>
    <row r="182" spans="1:40">
      <c r="X182" s="2" t="s">
        <v>105</v>
      </c>
      <c r="Y182" s="125">
        <f>+E178</f>
        <v>5</v>
      </c>
      <c r="Z182" s="125">
        <f t="shared" ref="Z182:AN182" si="104">+F178</f>
        <v>5</v>
      </c>
      <c r="AA182" s="125">
        <f t="shared" si="104"/>
        <v>4.7142857142857144</v>
      </c>
      <c r="AB182" s="125">
        <f t="shared" si="104"/>
        <v>4.7142857142857144</v>
      </c>
      <c r="AC182" s="125">
        <f t="shared" si="104"/>
        <v>4.5714285714285712</v>
      </c>
      <c r="AD182" s="125">
        <f t="shared" si="104"/>
        <v>1.0714285714285714</v>
      </c>
      <c r="AE182" s="125">
        <f t="shared" si="104"/>
        <v>2.0714285714285716</v>
      </c>
      <c r="AF182" s="125">
        <f t="shared" si="104"/>
        <v>3.0714285714285716</v>
      </c>
      <c r="AG182" s="125">
        <f t="shared" si="104"/>
        <v>4.0714285714285712</v>
      </c>
      <c r="AH182" s="125">
        <f t="shared" si="104"/>
        <v>4.5714285714285712</v>
      </c>
      <c r="AI182" s="125">
        <f t="shared" si="104"/>
        <v>5</v>
      </c>
      <c r="AJ182" s="125">
        <f t="shared" si="104"/>
        <v>4.2142857142857144</v>
      </c>
      <c r="AK182" s="125">
        <f t="shared" si="104"/>
        <v>4.0714285714285712</v>
      </c>
      <c r="AL182" s="125">
        <f t="shared" si="104"/>
        <v>1.0714285714285714</v>
      </c>
      <c r="AM182" s="125">
        <f t="shared" si="104"/>
        <v>2.0714285714285716</v>
      </c>
      <c r="AN182" s="125">
        <f t="shared" si="104"/>
        <v>3.0714285714285716</v>
      </c>
    </row>
    <row r="183" spans="1:40" ht="18" customHeight="1">
      <c r="C183" s="587" t="s">
        <v>107</v>
      </c>
      <c r="D183" s="588"/>
      <c r="E183" s="589"/>
      <c r="F183" s="589"/>
      <c r="G183" s="589"/>
      <c r="H183" s="589"/>
      <c r="I183" s="589"/>
      <c r="J183" s="589"/>
      <c r="K183" s="589"/>
      <c r="L183" s="589"/>
      <c r="M183" s="589"/>
      <c r="N183" s="589"/>
      <c r="O183" s="589"/>
      <c r="P183" s="589"/>
      <c r="Q183" s="589"/>
      <c r="R183" s="589"/>
      <c r="S183" s="589"/>
      <c r="T183" s="589"/>
      <c r="U183" s="589"/>
      <c r="X183" s="2" t="s">
        <v>106</v>
      </c>
      <c r="Y183" s="2">
        <v>5</v>
      </c>
      <c r="Z183" s="2">
        <v>5</v>
      </c>
      <c r="AA183" s="2">
        <v>5</v>
      </c>
      <c r="AB183" s="2">
        <v>5</v>
      </c>
      <c r="AC183" s="2">
        <v>5</v>
      </c>
      <c r="AD183" s="2">
        <v>5</v>
      </c>
      <c r="AE183" s="2">
        <v>5</v>
      </c>
      <c r="AF183" s="2">
        <v>5</v>
      </c>
      <c r="AG183" s="2">
        <v>5</v>
      </c>
      <c r="AH183" s="2">
        <v>5</v>
      </c>
      <c r="AI183" s="2">
        <v>5</v>
      </c>
      <c r="AJ183" s="2">
        <v>5</v>
      </c>
      <c r="AK183" s="2">
        <v>5</v>
      </c>
      <c r="AL183" s="2">
        <v>5</v>
      </c>
      <c r="AM183" s="2">
        <v>5</v>
      </c>
      <c r="AN183" s="2">
        <v>5</v>
      </c>
    </row>
    <row r="184" spans="1:40">
      <c r="C184" s="4"/>
    </row>
    <row r="185" spans="1:40" ht="15.75">
      <c r="A185" s="2">
        <v>1</v>
      </c>
      <c r="C185" s="476" t="str">
        <f>"7.2.1.1 - "&amp;VLOOKUP(A185,TIPOLOGIA!$D$10:$E$12,2,0)&amp;" para cálculo dos investimentos em frota"</f>
        <v>7.2.1.1 - MICROÔNIBUS para cálculo dos investimentos em frota</v>
      </c>
      <c r="D185" s="476"/>
      <c r="E185" s="476"/>
      <c r="F185" s="476"/>
    </row>
    <row r="186" spans="1:40" s="454" customFormat="1" ht="18" customHeight="1">
      <c r="B186" s="2"/>
      <c r="C186" s="705" t="s">
        <v>86</v>
      </c>
      <c r="D186" s="719"/>
      <c r="E186" s="105" t="s">
        <v>99</v>
      </c>
      <c r="F186" s="106">
        <v>1</v>
      </c>
      <c r="G186" s="106">
        <f t="shared" ref="G186:T186" si="105">+F186+1</f>
        <v>2</v>
      </c>
      <c r="H186" s="106">
        <f t="shared" si="105"/>
        <v>3</v>
      </c>
      <c r="I186" s="106">
        <f t="shared" si="105"/>
        <v>4</v>
      </c>
      <c r="J186" s="106">
        <f t="shared" si="105"/>
        <v>5</v>
      </c>
      <c r="K186" s="106">
        <f t="shared" si="105"/>
        <v>6</v>
      </c>
      <c r="L186" s="106">
        <f t="shared" si="105"/>
        <v>7</v>
      </c>
      <c r="M186" s="106">
        <f t="shared" si="105"/>
        <v>8</v>
      </c>
      <c r="N186" s="106">
        <f t="shared" si="105"/>
        <v>9</v>
      </c>
      <c r="O186" s="106">
        <f t="shared" si="105"/>
        <v>10</v>
      </c>
      <c r="P186" s="106">
        <f t="shared" si="105"/>
        <v>11</v>
      </c>
      <c r="Q186" s="106">
        <f t="shared" si="105"/>
        <v>12</v>
      </c>
      <c r="R186" s="106">
        <f t="shared" si="105"/>
        <v>13</v>
      </c>
      <c r="S186" s="106">
        <f t="shared" si="105"/>
        <v>14</v>
      </c>
      <c r="T186" s="107">
        <f t="shared" si="105"/>
        <v>15</v>
      </c>
      <c r="U186" s="2"/>
    </row>
    <row r="187" spans="1:40">
      <c r="C187" s="110">
        <v>0</v>
      </c>
      <c r="D187" s="108" t="s">
        <v>87</v>
      </c>
      <c r="E187" s="155">
        <f>E15*'3. PREÇOS INSUMOS'!G51</f>
        <v>0</v>
      </c>
      <c r="F187" s="155">
        <f>F15*'3. PREÇOS INSUMOS'!H51</f>
        <v>0</v>
      </c>
      <c r="G187" s="155">
        <f>G15*'3. PREÇOS INSUMOS'!I51</f>
        <v>0</v>
      </c>
      <c r="H187" s="155">
        <f>H15*'3. PREÇOS INSUMOS'!J51</f>
        <v>0</v>
      </c>
      <c r="I187" s="155">
        <f>I15*'3. PREÇOS INSUMOS'!K51</f>
        <v>0</v>
      </c>
      <c r="J187" s="155">
        <f>J15*'3. PREÇOS INSUMOS'!L51</f>
        <v>1236000</v>
      </c>
      <c r="K187" s="155">
        <f>K15*'3. PREÇOS INSUMOS'!M51</f>
        <v>0</v>
      </c>
      <c r="L187" s="155">
        <f>L15*'3. PREÇOS INSUMOS'!N51</f>
        <v>0</v>
      </c>
      <c r="M187" s="155">
        <f>M15*'3. PREÇOS INSUMOS'!O51</f>
        <v>0</v>
      </c>
      <c r="N187" s="155">
        <f>N15*'3. PREÇOS INSUMOS'!P51</f>
        <v>0</v>
      </c>
      <c r="O187" s="155">
        <f>O15*'3. PREÇOS INSUMOS'!Q51</f>
        <v>0</v>
      </c>
      <c r="P187" s="155">
        <f>P15*'3. PREÇOS INSUMOS'!R51</f>
        <v>0</v>
      </c>
      <c r="Q187" s="155">
        <f>Q15*'3. PREÇOS INSUMOS'!S51</f>
        <v>0</v>
      </c>
      <c r="R187" s="155">
        <f>R15*'3. PREÇOS INSUMOS'!T51</f>
        <v>1236000</v>
      </c>
      <c r="S187" s="155">
        <f>S15*'3. PREÇOS INSUMOS'!U51</f>
        <v>0</v>
      </c>
      <c r="T187" s="156">
        <f>T15*'3. PREÇOS INSUMOS'!V51</f>
        <v>0</v>
      </c>
    </row>
    <row r="188" spans="1:40" ht="18" customHeight="1">
      <c r="C188" s="110">
        <v>1</v>
      </c>
      <c r="D188" s="108" t="s">
        <v>89</v>
      </c>
      <c r="E188" s="155">
        <f>E16*'3. PREÇOS INSUMOS'!G52</f>
        <v>0</v>
      </c>
      <c r="F188" s="155">
        <f>F16*'3. PREÇOS INSUMOS'!H52</f>
        <v>0</v>
      </c>
      <c r="G188" s="155">
        <f>G16*'3. PREÇOS INSUMOS'!I52</f>
        <v>0</v>
      </c>
      <c r="H188" s="155">
        <f>H16*'3. PREÇOS INSUMOS'!J52</f>
        <v>0</v>
      </c>
      <c r="I188" s="155">
        <f>I16*'3. PREÇOS INSUMOS'!K52</f>
        <v>0</v>
      </c>
      <c r="J188" s="155">
        <f>J16*'3. PREÇOS INSUMOS'!L52</f>
        <v>0</v>
      </c>
      <c r="K188" s="155">
        <f>K16*'3. PREÇOS INSUMOS'!M52</f>
        <v>0</v>
      </c>
      <c r="L188" s="155">
        <f>L16*'3. PREÇOS INSUMOS'!N52</f>
        <v>0</v>
      </c>
      <c r="M188" s="155">
        <f>M16*'3. PREÇOS INSUMOS'!O52</f>
        <v>0</v>
      </c>
      <c r="N188" s="155">
        <f>N16*'3. PREÇOS INSUMOS'!P52</f>
        <v>0</v>
      </c>
      <c r="O188" s="155">
        <f>O16*'3. PREÇOS INSUMOS'!Q52</f>
        <v>0</v>
      </c>
      <c r="P188" s="155">
        <f>P16*'3. PREÇOS INSUMOS'!R52</f>
        <v>0</v>
      </c>
      <c r="Q188" s="155">
        <f>Q16*'3. PREÇOS INSUMOS'!S52</f>
        <v>0</v>
      </c>
      <c r="R188" s="155">
        <f>R16*'3. PREÇOS INSUMOS'!T52</f>
        <v>0</v>
      </c>
      <c r="S188" s="155">
        <f>S16*'3. PREÇOS INSUMOS'!U52</f>
        <v>0</v>
      </c>
      <c r="T188" s="156">
        <f>T16*'3. PREÇOS INSUMOS'!V52</f>
        <v>0</v>
      </c>
    </row>
    <row r="189" spans="1:40">
      <c r="C189" s="110">
        <v>2</v>
      </c>
      <c r="D189" s="108" t="s">
        <v>90</v>
      </c>
      <c r="E189" s="155">
        <f>E17*'3. PREÇOS INSUMOS'!G53</f>
        <v>0</v>
      </c>
      <c r="F189" s="155">
        <f>F17*'3. PREÇOS INSUMOS'!H53</f>
        <v>0</v>
      </c>
      <c r="G189" s="155">
        <f>G17*'3. PREÇOS INSUMOS'!I53</f>
        <v>0</v>
      </c>
      <c r="H189" s="155">
        <f>H17*'3. PREÇOS INSUMOS'!J53</f>
        <v>0</v>
      </c>
      <c r="I189" s="155">
        <f>I17*'3. PREÇOS INSUMOS'!K53</f>
        <v>0</v>
      </c>
      <c r="J189" s="155">
        <f>J17*'3. PREÇOS INSUMOS'!L53</f>
        <v>0</v>
      </c>
      <c r="K189" s="155">
        <f>K17*'3. PREÇOS INSUMOS'!M53</f>
        <v>0</v>
      </c>
      <c r="L189" s="155">
        <f>L17*'3. PREÇOS INSUMOS'!N53</f>
        <v>0</v>
      </c>
      <c r="M189" s="155">
        <f>M17*'3. PREÇOS INSUMOS'!O53</f>
        <v>0</v>
      </c>
      <c r="N189" s="155">
        <f>N17*'3. PREÇOS INSUMOS'!P53</f>
        <v>0</v>
      </c>
      <c r="O189" s="155">
        <f>O17*'3. PREÇOS INSUMOS'!Q53</f>
        <v>0</v>
      </c>
      <c r="P189" s="155">
        <f>P17*'3. PREÇOS INSUMOS'!R53</f>
        <v>0</v>
      </c>
      <c r="Q189" s="155">
        <f>Q17*'3. PREÇOS INSUMOS'!S53</f>
        <v>0</v>
      </c>
      <c r="R189" s="155">
        <f>R17*'3. PREÇOS INSUMOS'!T53</f>
        <v>0</v>
      </c>
      <c r="S189" s="155">
        <f>S17*'3. PREÇOS INSUMOS'!U53</f>
        <v>0</v>
      </c>
      <c r="T189" s="156">
        <f>T17*'3. PREÇOS INSUMOS'!V53</f>
        <v>0</v>
      </c>
    </row>
    <row r="190" spans="1:40">
      <c r="C190" s="110">
        <v>3</v>
      </c>
      <c r="D190" s="108" t="s">
        <v>91</v>
      </c>
      <c r="E190" s="155">
        <f>E18*'3. PREÇOS INSUMOS'!G54</f>
        <v>0</v>
      </c>
      <c r="F190" s="155">
        <f>F18*'3. PREÇOS INSUMOS'!H54</f>
        <v>0</v>
      </c>
      <c r="G190" s="155">
        <f>G18*'3. PREÇOS INSUMOS'!I54</f>
        <v>0</v>
      </c>
      <c r="H190" s="155">
        <f>H18*'3. PREÇOS INSUMOS'!J54</f>
        <v>0</v>
      </c>
      <c r="I190" s="155">
        <f>I18*'3. PREÇOS INSUMOS'!K54</f>
        <v>0</v>
      </c>
      <c r="J190" s="155">
        <f>J18*'3. PREÇOS INSUMOS'!L54</f>
        <v>0</v>
      </c>
      <c r="K190" s="155">
        <f>K18*'3. PREÇOS INSUMOS'!M54</f>
        <v>0</v>
      </c>
      <c r="L190" s="155">
        <f>L18*'3. PREÇOS INSUMOS'!N54</f>
        <v>0</v>
      </c>
      <c r="M190" s="155">
        <f>M18*'3. PREÇOS INSUMOS'!O54</f>
        <v>0</v>
      </c>
      <c r="N190" s="155">
        <f>N18*'3. PREÇOS INSUMOS'!P54</f>
        <v>0</v>
      </c>
      <c r="O190" s="155">
        <f>O18*'3. PREÇOS INSUMOS'!Q54</f>
        <v>0</v>
      </c>
      <c r="P190" s="155">
        <f>P18*'3. PREÇOS INSUMOS'!R54</f>
        <v>0</v>
      </c>
      <c r="Q190" s="155">
        <f>Q18*'3. PREÇOS INSUMOS'!S54</f>
        <v>0</v>
      </c>
      <c r="R190" s="155">
        <f>R18*'3. PREÇOS INSUMOS'!T54</f>
        <v>0</v>
      </c>
      <c r="S190" s="155">
        <f>S18*'3. PREÇOS INSUMOS'!U54</f>
        <v>0</v>
      </c>
      <c r="T190" s="156">
        <f>T18*'3. PREÇOS INSUMOS'!V54</f>
        <v>0</v>
      </c>
    </row>
    <row r="191" spans="1:40">
      <c r="C191" s="110">
        <v>4</v>
      </c>
      <c r="D191" s="108" t="s">
        <v>92</v>
      </c>
      <c r="E191" s="155">
        <f>E19*'3. PREÇOS INSUMOS'!G55</f>
        <v>0</v>
      </c>
      <c r="F191" s="155">
        <f>F19*'3. PREÇOS INSUMOS'!H55</f>
        <v>0</v>
      </c>
      <c r="G191" s="155">
        <f>G19*'3. PREÇOS INSUMOS'!I55</f>
        <v>0</v>
      </c>
      <c r="H191" s="155">
        <f>H19*'3. PREÇOS INSUMOS'!J55</f>
        <v>0</v>
      </c>
      <c r="I191" s="155">
        <f>I19*'3. PREÇOS INSUMOS'!K55</f>
        <v>0</v>
      </c>
      <c r="J191" s="155">
        <f>J19*'3. PREÇOS INSUMOS'!L55</f>
        <v>0</v>
      </c>
      <c r="K191" s="155">
        <f>K19*'3. PREÇOS INSUMOS'!M55</f>
        <v>0</v>
      </c>
      <c r="L191" s="155">
        <f>L19*'3. PREÇOS INSUMOS'!N55</f>
        <v>0</v>
      </c>
      <c r="M191" s="155">
        <f>M19*'3. PREÇOS INSUMOS'!O55</f>
        <v>0</v>
      </c>
      <c r="N191" s="155">
        <f>N19*'3. PREÇOS INSUMOS'!P55</f>
        <v>0</v>
      </c>
      <c r="O191" s="155">
        <f>O19*'3. PREÇOS INSUMOS'!Q55</f>
        <v>0</v>
      </c>
      <c r="P191" s="155">
        <f>P19*'3. PREÇOS INSUMOS'!R55</f>
        <v>0</v>
      </c>
      <c r="Q191" s="155">
        <f>Q19*'3. PREÇOS INSUMOS'!S55</f>
        <v>0</v>
      </c>
      <c r="R191" s="155">
        <f>R19*'3. PREÇOS INSUMOS'!T55</f>
        <v>0</v>
      </c>
      <c r="S191" s="155">
        <f>S19*'3. PREÇOS INSUMOS'!U55</f>
        <v>0</v>
      </c>
      <c r="T191" s="156">
        <f>T19*'3. PREÇOS INSUMOS'!V55</f>
        <v>0</v>
      </c>
    </row>
    <row r="192" spans="1:40">
      <c r="C192" s="110">
        <v>5</v>
      </c>
      <c r="D192" s="108" t="s">
        <v>93</v>
      </c>
      <c r="E192" s="155">
        <f>E20*'3. PREÇOS INSUMOS'!G56</f>
        <v>360499.99999999994</v>
      </c>
      <c r="F192" s="155">
        <f>F20*'3. PREÇOS INSUMOS'!H56</f>
        <v>0</v>
      </c>
      <c r="G192" s="155">
        <f>G20*'3. PREÇOS INSUMOS'!I56</f>
        <v>0</v>
      </c>
      <c r="H192" s="155">
        <f>H20*'3. PREÇOS INSUMOS'!J56</f>
        <v>0</v>
      </c>
      <c r="I192" s="155">
        <f>I20*'3. PREÇOS INSUMOS'!K56</f>
        <v>0</v>
      </c>
      <c r="J192" s="155">
        <f>J20*'3. PREÇOS INSUMOS'!L56</f>
        <v>0</v>
      </c>
      <c r="K192" s="155">
        <f>K20*'3. PREÇOS INSUMOS'!M56</f>
        <v>0</v>
      </c>
      <c r="L192" s="155">
        <f>L20*'3. PREÇOS INSUMOS'!N56</f>
        <v>0</v>
      </c>
      <c r="M192" s="155">
        <f>M20*'3. PREÇOS INSUMOS'!O56</f>
        <v>0</v>
      </c>
      <c r="N192" s="155">
        <f>N20*'3. PREÇOS INSUMOS'!P56</f>
        <v>0</v>
      </c>
      <c r="O192" s="155">
        <f>O20*'3. PREÇOS INSUMOS'!Q56</f>
        <v>0</v>
      </c>
      <c r="P192" s="155">
        <f>P20*'3. PREÇOS INSUMOS'!R56</f>
        <v>0</v>
      </c>
      <c r="Q192" s="155">
        <f>Q20*'3. PREÇOS INSUMOS'!S56</f>
        <v>0</v>
      </c>
      <c r="R192" s="155">
        <f>R20*'3. PREÇOS INSUMOS'!T56</f>
        <v>0</v>
      </c>
      <c r="S192" s="155">
        <f>S20*'3. PREÇOS INSUMOS'!U56</f>
        <v>0</v>
      </c>
      <c r="T192" s="156">
        <f>T20*'3. PREÇOS INSUMOS'!V56</f>
        <v>0</v>
      </c>
    </row>
    <row r="193" spans="1:20">
      <c r="C193" s="110">
        <v>6</v>
      </c>
      <c r="D193" s="108" t="s">
        <v>94</v>
      </c>
      <c r="E193" s="155">
        <f>E21*'3. PREÇOS INSUMOS'!G57</f>
        <v>0</v>
      </c>
      <c r="F193" s="155">
        <f>F21*'3. PREÇOS INSUMOS'!H57</f>
        <v>0</v>
      </c>
      <c r="G193" s="155">
        <f>G21*'3. PREÇOS INSUMOS'!I57</f>
        <v>0</v>
      </c>
      <c r="H193" s="155">
        <f>H21*'3. PREÇOS INSUMOS'!J57</f>
        <v>0</v>
      </c>
      <c r="I193" s="155">
        <f>I21*'3. PREÇOS INSUMOS'!K57</f>
        <v>0</v>
      </c>
      <c r="J193" s="155">
        <f>J21*'3. PREÇOS INSUMOS'!L57</f>
        <v>0</v>
      </c>
      <c r="K193" s="155">
        <f>K21*'3. PREÇOS INSUMOS'!M57</f>
        <v>0</v>
      </c>
      <c r="L193" s="155">
        <f>L21*'3. PREÇOS INSUMOS'!N57</f>
        <v>0</v>
      </c>
      <c r="M193" s="155">
        <f>M21*'3. PREÇOS INSUMOS'!O57</f>
        <v>0</v>
      </c>
      <c r="N193" s="155">
        <f>N21*'3. PREÇOS INSUMOS'!P57</f>
        <v>0</v>
      </c>
      <c r="O193" s="155">
        <f>O21*'3. PREÇOS INSUMOS'!Q57</f>
        <v>0</v>
      </c>
      <c r="P193" s="155">
        <f>P21*'3. PREÇOS INSUMOS'!R57</f>
        <v>0</v>
      </c>
      <c r="Q193" s="155">
        <f>Q21*'3. PREÇOS INSUMOS'!S57</f>
        <v>0</v>
      </c>
      <c r="R193" s="155">
        <f>R21*'3. PREÇOS INSUMOS'!T57</f>
        <v>0</v>
      </c>
      <c r="S193" s="155">
        <f>S21*'3. PREÇOS INSUMOS'!U57</f>
        <v>0</v>
      </c>
      <c r="T193" s="156">
        <f>T21*'3. PREÇOS INSUMOS'!V57</f>
        <v>0</v>
      </c>
    </row>
    <row r="194" spans="1:20">
      <c r="C194" s="110">
        <v>7</v>
      </c>
      <c r="D194" s="108" t="s">
        <v>95</v>
      </c>
      <c r="E194" s="155">
        <f>E22*'3. PREÇOS INSUMOS'!G58</f>
        <v>0</v>
      </c>
      <c r="F194" s="155">
        <f>F22*'3. PREÇOS INSUMOS'!H58</f>
        <v>0</v>
      </c>
      <c r="G194" s="155">
        <f>G22*'3. PREÇOS INSUMOS'!I58</f>
        <v>0</v>
      </c>
      <c r="H194" s="155">
        <f>H22*'3. PREÇOS INSUMOS'!J58</f>
        <v>0</v>
      </c>
      <c r="I194" s="155">
        <f>I22*'3. PREÇOS INSUMOS'!K58</f>
        <v>0</v>
      </c>
      <c r="J194" s="155">
        <f>J22*'3. PREÇOS INSUMOS'!L58</f>
        <v>0</v>
      </c>
      <c r="K194" s="155">
        <f>K22*'3. PREÇOS INSUMOS'!M58</f>
        <v>0</v>
      </c>
      <c r="L194" s="155">
        <f>L22*'3. PREÇOS INSUMOS'!N58</f>
        <v>0</v>
      </c>
      <c r="M194" s="155">
        <f>M22*'3. PREÇOS INSUMOS'!O58</f>
        <v>0</v>
      </c>
      <c r="N194" s="155">
        <f>N22*'3. PREÇOS INSUMOS'!P58</f>
        <v>0</v>
      </c>
      <c r="O194" s="155">
        <f>O22*'3. PREÇOS INSUMOS'!Q58</f>
        <v>0</v>
      </c>
      <c r="P194" s="155">
        <f>P22*'3. PREÇOS INSUMOS'!R58</f>
        <v>0</v>
      </c>
      <c r="Q194" s="155">
        <f>Q22*'3. PREÇOS INSUMOS'!S58</f>
        <v>0</v>
      </c>
      <c r="R194" s="155">
        <f>R22*'3. PREÇOS INSUMOS'!T58</f>
        <v>0</v>
      </c>
      <c r="S194" s="155">
        <f>S22*'3. PREÇOS INSUMOS'!U58</f>
        <v>0</v>
      </c>
      <c r="T194" s="156">
        <f>T22*'3. PREÇOS INSUMOS'!V58</f>
        <v>0</v>
      </c>
    </row>
    <row r="195" spans="1:20">
      <c r="C195" s="110">
        <v>8</v>
      </c>
      <c r="D195" s="108" t="s">
        <v>96</v>
      </c>
      <c r="E195" s="155">
        <f>E23*'3. PREÇOS INSUMOS'!G59</f>
        <v>0</v>
      </c>
      <c r="F195" s="155">
        <f>F23*'3. PREÇOS INSUMOS'!H59</f>
        <v>0</v>
      </c>
      <c r="G195" s="155">
        <f>G23*'3. PREÇOS INSUMOS'!I59</f>
        <v>0</v>
      </c>
      <c r="H195" s="155">
        <f>H23*'3. PREÇOS INSUMOS'!J59</f>
        <v>0</v>
      </c>
      <c r="I195" s="155">
        <f>I23*'3. PREÇOS INSUMOS'!K59</f>
        <v>0</v>
      </c>
      <c r="J195" s="155">
        <f>J23*'3. PREÇOS INSUMOS'!L59</f>
        <v>0</v>
      </c>
      <c r="K195" s="155">
        <f>K23*'3. PREÇOS INSUMOS'!M59</f>
        <v>0</v>
      </c>
      <c r="L195" s="155">
        <f>L23*'3. PREÇOS INSUMOS'!N59</f>
        <v>0</v>
      </c>
      <c r="M195" s="155">
        <f>M23*'3. PREÇOS INSUMOS'!O59</f>
        <v>0</v>
      </c>
      <c r="N195" s="155">
        <f>N23*'3. PREÇOS INSUMOS'!P59</f>
        <v>0</v>
      </c>
      <c r="O195" s="155">
        <f>O23*'3. PREÇOS INSUMOS'!Q59</f>
        <v>0</v>
      </c>
      <c r="P195" s="155">
        <f>P23*'3. PREÇOS INSUMOS'!R59</f>
        <v>0</v>
      </c>
      <c r="Q195" s="155">
        <f>Q23*'3. PREÇOS INSUMOS'!S59</f>
        <v>0</v>
      </c>
      <c r="R195" s="155">
        <f>R23*'3. PREÇOS INSUMOS'!T59</f>
        <v>0</v>
      </c>
      <c r="S195" s="155">
        <f>S23*'3. PREÇOS INSUMOS'!U59</f>
        <v>0</v>
      </c>
      <c r="T195" s="156">
        <f>T23*'3. PREÇOS INSUMOS'!V59</f>
        <v>0</v>
      </c>
    </row>
    <row r="196" spans="1:20">
      <c r="C196" s="110">
        <v>9</v>
      </c>
      <c r="D196" s="108" t="s">
        <v>97</v>
      </c>
      <c r="E196" s="155">
        <f>E24*'3. PREÇOS INSUMOS'!G60</f>
        <v>0</v>
      </c>
      <c r="F196" s="155">
        <f>F24*'3. PREÇOS INSUMOS'!H60</f>
        <v>0</v>
      </c>
      <c r="G196" s="155">
        <f>G24*'3. PREÇOS INSUMOS'!I60</f>
        <v>0</v>
      </c>
      <c r="H196" s="155">
        <f>H24*'3. PREÇOS INSUMOS'!J60</f>
        <v>0</v>
      </c>
      <c r="I196" s="155">
        <f>I24*'3. PREÇOS INSUMOS'!K60</f>
        <v>0</v>
      </c>
      <c r="J196" s="155">
        <f>J24*'3. PREÇOS INSUMOS'!L60</f>
        <v>0</v>
      </c>
      <c r="K196" s="155">
        <f>K24*'3. PREÇOS INSUMOS'!M60</f>
        <v>0</v>
      </c>
      <c r="L196" s="155">
        <f>L24*'3. PREÇOS INSUMOS'!N60</f>
        <v>0</v>
      </c>
      <c r="M196" s="155">
        <f>M24*'3. PREÇOS INSUMOS'!O60</f>
        <v>0</v>
      </c>
      <c r="N196" s="155">
        <f>N24*'3. PREÇOS INSUMOS'!P60</f>
        <v>0</v>
      </c>
      <c r="O196" s="155">
        <f>O24*'3. PREÇOS INSUMOS'!Q60</f>
        <v>0</v>
      </c>
      <c r="P196" s="155">
        <f>P24*'3. PREÇOS INSUMOS'!R60</f>
        <v>0</v>
      </c>
      <c r="Q196" s="155">
        <f>Q24*'3. PREÇOS INSUMOS'!S60</f>
        <v>0</v>
      </c>
      <c r="R196" s="155">
        <f>R24*'3. PREÇOS INSUMOS'!T60</f>
        <v>0</v>
      </c>
      <c r="S196" s="155">
        <f>S24*'3. PREÇOS INSUMOS'!U60</f>
        <v>0</v>
      </c>
      <c r="T196" s="156">
        <f>T24*'3. PREÇOS INSUMOS'!V60</f>
        <v>0</v>
      </c>
    </row>
    <row r="197" spans="1:20">
      <c r="C197" s="110">
        <v>10</v>
      </c>
      <c r="D197" s="109" t="s">
        <v>98</v>
      </c>
      <c r="E197" s="155">
        <f>E25*'3. PREÇOS INSUMOS'!G61</f>
        <v>0</v>
      </c>
      <c r="F197" s="155">
        <f>F25*'3. PREÇOS INSUMOS'!H61</f>
        <v>0</v>
      </c>
      <c r="G197" s="155">
        <f>G25*'3. PREÇOS INSUMOS'!I61</f>
        <v>0</v>
      </c>
      <c r="H197" s="155">
        <f>H25*'3. PREÇOS INSUMOS'!J61</f>
        <v>0</v>
      </c>
      <c r="I197" s="155">
        <f>I25*'3. PREÇOS INSUMOS'!K61</f>
        <v>0</v>
      </c>
      <c r="J197" s="155">
        <f>J25*'3. PREÇOS INSUMOS'!L61</f>
        <v>0</v>
      </c>
      <c r="K197" s="155">
        <f>K25*'3. PREÇOS INSUMOS'!M61</f>
        <v>0</v>
      </c>
      <c r="L197" s="155">
        <f>L25*'3. PREÇOS INSUMOS'!N61</f>
        <v>0</v>
      </c>
      <c r="M197" s="155">
        <f>M25*'3. PREÇOS INSUMOS'!O61</f>
        <v>0</v>
      </c>
      <c r="N197" s="155">
        <f>N25*'3. PREÇOS INSUMOS'!P61</f>
        <v>0</v>
      </c>
      <c r="O197" s="155">
        <f>O25*'3. PREÇOS INSUMOS'!Q61</f>
        <v>0</v>
      </c>
      <c r="P197" s="155">
        <f>P25*'3. PREÇOS INSUMOS'!R61</f>
        <v>0</v>
      </c>
      <c r="Q197" s="155">
        <f>Q25*'3. PREÇOS INSUMOS'!S61</f>
        <v>0</v>
      </c>
      <c r="R197" s="155">
        <f>R25*'3. PREÇOS INSUMOS'!T61</f>
        <v>0</v>
      </c>
      <c r="S197" s="155">
        <f>S25*'3. PREÇOS INSUMOS'!U61</f>
        <v>0</v>
      </c>
      <c r="T197" s="156">
        <f>T25*'3. PREÇOS INSUMOS'!V61</f>
        <v>0</v>
      </c>
    </row>
    <row r="198" spans="1:20">
      <c r="A198" s="4"/>
      <c r="C198" s="111" t="s">
        <v>88</v>
      </c>
      <c r="D198" s="112"/>
      <c r="E198" s="157">
        <f>SUM(E187:E197)</f>
        <v>360499.99999999994</v>
      </c>
      <c r="F198" s="157">
        <f t="shared" ref="F198:T198" si="106">SUM(F187:F197)</f>
        <v>0</v>
      </c>
      <c r="G198" s="157">
        <f t="shared" si="106"/>
        <v>0</v>
      </c>
      <c r="H198" s="157">
        <f t="shared" si="106"/>
        <v>0</v>
      </c>
      <c r="I198" s="157">
        <f t="shared" si="106"/>
        <v>0</v>
      </c>
      <c r="J198" s="157">
        <f t="shared" si="106"/>
        <v>1236000</v>
      </c>
      <c r="K198" s="157">
        <f t="shared" si="106"/>
        <v>0</v>
      </c>
      <c r="L198" s="157">
        <f t="shared" si="106"/>
        <v>0</v>
      </c>
      <c r="M198" s="157">
        <f t="shared" si="106"/>
        <v>0</v>
      </c>
      <c r="N198" s="157">
        <f t="shared" si="106"/>
        <v>0</v>
      </c>
      <c r="O198" s="157">
        <f t="shared" si="106"/>
        <v>0</v>
      </c>
      <c r="P198" s="157">
        <f t="shared" si="106"/>
        <v>0</v>
      </c>
      <c r="Q198" s="157">
        <f t="shared" si="106"/>
        <v>0</v>
      </c>
      <c r="R198" s="157">
        <f t="shared" si="106"/>
        <v>1236000</v>
      </c>
      <c r="S198" s="157">
        <f t="shared" si="106"/>
        <v>0</v>
      </c>
      <c r="T198" s="158">
        <f t="shared" si="106"/>
        <v>0</v>
      </c>
    </row>
    <row r="199" spans="1:20">
      <c r="A199" s="4"/>
      <c r="C199" s="71"/>
      <c r="D199" s="71"/>
      <c r="E199" s="165"/>
      <c r="F199" s="165"/>
      <c r="G199" s="165"/>
      <c r="H199" s="165"/>
      <c r="I199" s="165"/>
      <c r="J199" s="165"/>
      <c r="K199" s="165"/>
      <c r="L199" s="165"/>
      <c r="M199" s="165"/>
      <c r="N199" s="165"/>
      <c r="O199" s="165"/>
      <c r="P199" s="165"/>
      <c r="Q199" s="165"/>
      <c r="R199" s="165"/>
      <c r="S199" s="165"/>
      <c r="T199" s="165"/>
    </row>
    <row r="200" spans="1:20" ht="15.75" outlineLevel="1">
      <c r="A200" s="4"/>
      <c r="C200" s="71"/>
      <c r="D200" s="381" t="s">
        <v>467</v>
      </c>
      <c r="E200" s="381"/>
      <c r="F200" s="381"/>
      <c r="G200" s="381"/>
      <c r="H200" s="165"/>
      <c r="I200" s="165"/>
      <c r="J200" s="165"/>
      <c r="K200" s="165"/>
      <c r="L200" s="165"/>
      <c r="M200" s="165"/>
      <c r="N200" s="165"/>
      <c r="O200" s="165"/>
      <c r="P200" s="165"/>
      <c r="Q200" s="165"/>
      <c r="R200" s="165"/>
      <c r="S200" s="165"/>
      <c r="T200" s="165"/>
    </row>
    <row r="201" spans="1:20" outlineLevel="1">
      <c r="A201" s="4"/>
      <c r="C201" s="705" t="s">
        <v>86</v>
      </c>
      <c r="D201" s="719"/>
      <c r="E201" s="657" t="s">
        <v>99</v>
      </c>
      <c r="F201" s="106">
        <v>1</v>
      </c>
      <c r="G201" s="106">
        <f t="shared" ref="G201" si="107">+F201+1</f>
        <v>2</v>
      </c>
      <c r="H201" s="106">
        <f t="shared" ref="H201" si="108">+G201+1</f>
        <v>3</v>
      </c>
      <c r="I201" s="106">
        <f t="shared" ref="I201" si="109">+H201+1</f>
        <v>4</v>
      </c>
      <c r="J201" s="106">
        <f t="shared" ref="J201" si="110">+I201+1</f>
        <v>5</v>
      </c>
      <c r="K201" s="106">
        <f t="shared" ref="K201" si="111">+J201+1</f>
        <v>6</v>
      </c>
      <c r="L201" s="106">
        <f t="shared" ref="L201" si="112">+K201+1</f>
        <v>7</v>
      </c>
      <c r="M201" s="106">
        <f t="shared" ref="M201" si="113">+L201+1</f>
        <v>8</v>
      </c>
      <c r="N201" s="106">
        <f t="shared" ref="N201" si="114">+M201+1</f>
        <v>9</v>
      </c>
      <c r="O201" s="106">
        <f t="shared" ref="O201" si="115">+N201+1</f>
        <v>10</v>
      </c>
      <c r="P201" s="106">
        <f t="shared" ref="P201" si="116">+O201+1</f>
        <v>11</v>
      </c>
      <c r="Q201" s="106">
        <f t="shared" ref="Q201" si="117">+P201+1</f>
        <v>12</v>
      </c>
      <c r="R201" s="106">
        <f t="shared" ref="R201" si="118">+Q201+1</f>
        <v>13</v>
      </c>
      <c r="S201" s="106">
        <f t="shared" ref="S201" si="119">+R201+1</f>
        <v>14</v>
      </c>
      <c r="T201" s="107">
        <f t="shared" ref="T201" si="120">+S201+1</f>
        <v>15</v>
      </c>
    </row>
    <row r="202" spans="1:20" outlineLevel="1">
      <c r="A202" s="4"/>
      <c r="C202" s="110">
        <v>0</v>
      </c>
      <c r="D202" s="108" t="s">
        <v>87</v>
      </c>
      <c r="E202" s="155">
        <f>E15*'3. PREÇOS INSUMOS'!G104</f>
        <v>0</v>
      </c>
      <c r="F202" s="155">
        <f>F15*'3. PREÇOS INSUMOS'!G104</f>
        <v>0</v>
      </c>
      <c r="G202" s="155">
        <f>G15*'3. PREÇOS INSUMOS'!H104</f>
        <v>0</v>
      </c>
      <c r="H202" s="155">
        <f>H15*'3. PREÇOS INSUMOS'!I104</f>
        <v>0</v>
      </c>
      <c r="I202" s="155">
        <f>I15*'3. PREÇOS INSUMOS'!J104</f>
        <v>0</v>
      </c>
      <c r="J202" s="155">
        <f>J15*'3. PREÇOS INSUMOS'!K104</f>
        <v>1223031.04</v>
      </c>
      <c r="K202" s="155">
        <f>K15*'3. PREÇOS INSUMOS'!L104</f>
        <v>0</v>
      </c>
      <c r="L202" s="155">
        <f>L15*'3. PREÇOS INSUMOS'!M104</f>
        <v>0</v>
      </c>
      <c r="M202" s="155">
        <f>M15*'3. PREÇOS INSUMOS'!N104</f>
        <v>0</v>
      </c>
      <c r="N202" s="155">
        <f>N15*'3. PREÇOS INSUMOS'!O104</f>
        <v>0</v>
      </c>
      <c r="O202" s="155">
        <f>O15*'3. PREÇOS INSUMOS'!P104</f>
        <v>0</v>
      </c>
      <c r="P202" s="155">
        <f>P15*'3. PREÇOS INSUMOS'!Q104</f>
        <v>0</v>
      </c>
      <c r="Q202" s="155">
        <f>Q15*'3. PREÇOS INSUMOS'!R104</f>
        <v>0</v>
      </c>
      <c r="R202" s="155">
        <f>R15*'3. PREÇOS INSUMOS'!S104</f>
        <v>1223031.04</v>
      </c>
      <c r="S202" s="155">
        <f>S15*'3. PREÇOS INSUMOS'!T104</f>
        <v>0</v>
      </c>
      <c r="T202" s="156">
        <f>T15*'3. PREÇOS INSUMOS'!U104</f>
        <v>0</v>
      </c>
    </row>
    <row r="203" spans="1:20" outlineLevel="1">
      <c r="A203" s="4"/>
      <c r="C203" s="110">
        <v>1</v>
      </c>
      <c r="D203" s="108" t="s">
        <v>89</v>
      </c>
      <c r="E203" s="155">
        <f>E16*'3. PREÇOS INSUMOS'!G105</f>
        <v>0</v>
      </c>
      <c r="F203" s="155">
        <f>F16*'3. PREÇOS INSUMOS'!G105</f>
        <v>0</v>
      </c>
      <c r="G203" s="155">
        <f>G16*'3. PREÇOS INSUMOS'!H105</f>
        <v>0</v>
      </c>
      <c r="H203" s="155">
        <f>H16*'3. PREÇOS INSUMOS'!I105</f>
        <v>0</v>
      </c>
      <c r="I203" s="155">
        <f>I16*'3. PREÇOS INSUMOS'!J105</f>
        <v>0</v>
      </c>
      <c r="J203" s="155">
        <f>J16*'3. PREÇOS INSUMOS'!K105</f>
        <v>0</v>
      </c>
      <c r="K203" s="155">
        <f>K16*'3. PREÇOS INSUMOS'!L105</f>
        <v>0</v>
      </c>
      <c r="L203" s="155">
        <f>L16*'3. PREÇOS INSUMOS'!M105</f>
        <v>0</v>
      </c>
      <c r="M203" s="155">
        <f>M16*'3. PREÇOS INSUMOS'!N105</f>
        <v>0</v>
      </c>
      <c r="N203" s="155">
        <f>N16*'3. PREÇOS INSUMOS'!O105</f>
        <v>0</v>
      </c>
      <c r="O203" s="155">
        <f>O16*'3. PREÇOS INSUMOS'!P105</f>
        <v>0</v>
      </c>
      <c r="P203" s="155">
        <f>P16*'3. PREÇOS INSUMOS'!Q105</f>
        <v>0</v>
      </c>
      <c r="Q203" s="155">
        <f>Q16*'3. PREÇOS INSUMOS'!R105</f>
        <v>0</v>
      </c>
      <c r="R203" s="155">
        <f>R16*'3. PREÇOS INSUMOS'!S105</f>
        <v>0</v>
      </c>
      <c r="S203" s="155">
        <f>S16*'3. PREÇOS INSUMOS'!T105</f>
        <v>0</v>
      </c>
      <c r="T203" s="156">
        <f>T16*'3. PREÇOS INSUMOS'!U105</f>
        <v>0</v>
      </c>
    </row>
    <row r="204" spans="1:20" outlineLevel="1">
      <c r="A204" s="4"/>
      <c r="C204" s="110">
        <v>2</v>
      </c>
      <c r="D204" s="108" t="s">
        <v>90</v>
      </c>
      <c r="E204" s="155">
        <f>E17*'3. PREÇOS INSUMOS'!G106</f>
        <v>0</v>
      </c>
      <c r="F204" s="155">
        <f>F17*'3. PREÇOS INSUMOS'!G106</f>
        <v>0</v>
      </c>
      <c r="G204" s="155">
        <f>G17*'3. PREÇOS INSUMOS'!H106</f>
        <v>0</v>
      </c>
      <c r="H204" s="155">
        <f>H17*'3. PREÇOS INSUMOS'!I106</f>
        <v>0</v>
      </c>
      <c r="I204" s="155">
        <f>I17*'3. PREÇOS INSUMOS'!J106</f>
        <v>0</v>
      </c>
      <c r="J204" s="155">
        <f>J17*'3. PREÇOS INSUMOS'!K106</f>
        <v>0</v>
      </c>
      <c r="K204" s="155">
        <f>K17*'3. PREÇOS INSUMOS'!L106</f>
        <v>0</v>
      </c>
      <c r="L204" s="155">
        <f>L17*'3. PREÇOS INSUMOS'!M106</f>
        <v>0</v>
      </c>
      <c r="M204" s="155">
        <f>M17*'3. PREÇOS INSUMOS'!N106</f>
        <v>0</v>
      </c>
      <c r="N204" s="155">
        <f>N17*'3. PREÇOS INSUMOS'!O106</f>
        <v>0</v>
      </c>
      <c r="O204" s="155">
        <f>O17*'3. PREÇOS INSUMOS'!P106</f>
        <v>0</v>
      </c>
      <c r="P204" s="155">
        <f>P17*'3. PREÇOS INSUMOS'!Q106</f>
        <v>0</v>
      </c>
      <c r="Q204" s="155">
        <f>Q17*'3. PREÇOS INSUMOS'!R106</f>
        <v>0</v>
      </c>
      <c r="R204" s="155">
        <f>R17*'3. PREÇOS INSUMOS'!S106</f>
        <v>0</v>
      </c>
      <c r="S204" s="155">
        <f>S17*'3. PREÇOS INSUMOS'!T106</f>
        <v>0</v>
      </c>
      <c r="T204" s="156">
        <f>T17*'3. PREÇOS INSUMOS'!U106</f>
        <v>0</v>
      </c>
    </row>
    <row r="205" spans="1:20" outlineLevel="1">
      <c r="A205" s="4"/>
      <c r="C205" s="110">
        <v>3</v>
      </c>
      <c r="D205" s="108" t="s">
        <v>91</v>
      </c>
      <c r="E205" s="155">
        <f>E18*'3. PREÇOS INSUMOS'!G107</f>
        <v>0</v>
      </c>
      <c r="F205" s="155">
        <f>F18*'3. PREÇOS INSUMOS'!G107</f>
        <v>0</v>
      </c>
      <c r="G205" s="155">
        <f>G18*'3. PREÇOS INSUMOS'!H107</f>
        <v>0</v>
      </c>
      <c r="H205" s="155">
        <f>H18*'3. PREÇOS INSUMOS'!I107</f>
        <v>0</v>
      </c>
      <c r="I205" s="155">
        <f>I18*'3. PREÇOS INSUMOS'!J107</f>
        <v>0</v>
      </c>
      <c r="J205" s="155">
        <f>J18*'3. PREÇOS INSUMOS'!K107</f>
        <v>0</v>
      </c>
      <c r="K205" s="155">
        <f>K18*'3. PREÇOS INSUMOS'!L107</f>
        <v>0</v>
      </c>
      <c r="L205" s="155">
        <f>L18*'3. PREÇOS INSUMOS'!M107</f>
        <v>0</v>
      </c>
      <c r="M205" s="155">
        <f>M18*'3. PREÇOS INSUMOS'!N107</f>
        <v>0</v>
      </c>
      <c r="N205" s="155">
        <f>N18*'3. PREÇOS INSUMOS'!O107</f>
        <v>0</v>
      </c>
      <c r="O205" s="155">
        <f>O18*'3. PREÇOS INSUMOS'!P107</f>
        <v>0</v>
      </c>
      <c r="P205" s="155">
        <f>P18*'3. PREÇOS INSUMOS'!Q107</f>
        <v>0</v>
      </c>
      <c r="Q205" s="155">
        <f>Q18*'3. PREÇOS INSUMOS'!R107</f>
        <v>0</v>
      </c>
      <c r="R205" s="155">
        <f>R18*'3. PREÇOS INSUMOS'!S107</f>
        <v>0</v>
      </c>
      <c r="S205" s="155">
        <f>S18*'3. PREÇOS INSUMOS'!T107</f>
        <v>0</v>
      </c>
      <c r="T205" s="156">
        <f>T18*'3. PREÇOS INSUMOS'!U107</f>
        <v>0</v>
      </c>
    </row>
    <row r="206" spans="1:20" outlineLevel="1">
      <c r="A206" s="4"/>
      <c r="C206" s="110">
        <v>4</v>
      </c>
      <c r="D206" s="108" t="s">
        <v>92</v>
      </c>
      <c r="E206" s="155">
        <f>E19*'3. PREÇOS INSUMOS'!G108</f>
        <v>0</v>
      </c>
      <c r="F206" s="155">
        <f>F19*'3. PREÇOS INSUMOS'!G108</f>
        <v>0</v>
      </c>
      <c r="G206" s="155">
        <f>G19*'3. PREÇOS INSUMOS'!H108</f>
        <v>0</v>
      </c>
      <c r="H206" s="155">
        <f>H19*'3. PREÇOS INSUMOS'!I108</f>
        <v>0</v>
      </c>
      <c r="I206" s="155">
        <f>I19*'3. PREÇOS INSUMOS'!J108</f>
        <v>0</v>
      </c>
      <c r="J206" s="155">
        <f>J19*'3. PREÇOS INSUMOS'!K108</f>
        <v>0</v>
      </c>
      <c r="K206" s="155">
        <f>K19*'3. PREÇOS INSUMOS'!L108</f>
        <v>0</v>
      </c>
      <c r="L206" s="155">
        <f>L19*'3. PREÇOS INSUMOS'!M108</f>
        <v>0</v>
      </c>
      <c r="M206" s="155">
        <f>M19*'3. PREÇOS INSUMOS'!N108</f>
        <v>0</v>
      </c>
      <c r="N206" s="155">
        <f>N19*'3. PREÇOS INSUMOS'!O108</f>
        <v>0</v>
      </c>
      <c r="O206" s="155">
        <f>O19*'3. PREÇOS INSUMOS'!P108</f>
        <v>0</v>
      </c>
      <c r="P206" s="155">
        <f>P19*'3. PREÇOS INSUMOS'!Q108</f>
        <v>0</v>
      </c>
      <c r="Q206" s="155">
        <f>Q19*'3. PREÇOS INSUMOS'!R108</f>
        <v>0</v>
      </c>
      <c r="R206" s="155">
        <f>R19*'3. PREÇOS INSUMOS'!S108</f>
        <v>0</v>
      </c>
      <c r="S206" s="155">
        <f>S19*'3. PREÇOS INSUMOS'!T108</f>
        <v>0</v>
      </c>
      <c r="T206" s="156">
        <f>T19*'3. PREÇOS INSUMOS'!U108</f>
        <v>0</v>
      </c>
    </row>
    <row r="207" spans="1:20" outlineLevel="1">
      <c r="A207" s="4"/>
      <c r="C207" s="110">
        <v>5</v>
      </c>
      <c r="D207" s="108" t="s">
        <v>93</v>
      </c>
      <c r="E207" s="155">
        <f>E20*'3. PREÇOS INSUMOS'!G109</f>
        <v>356717.38666666666</v>
      </c>
      <c r="F207" s="155">
        <f>F20*'3. PREÇOS INSUMOS'!G109</f>
        <v>0</v>
      </c>
      <c r="G207" s="155">
        <f>G20*'3. PREÇOS INSUMOS'!H109</f>
        <v>0</v>
      </c>
      <c r="H207" s="155">
        <f>H20*'3. PREÇOS INSUMOS'!I109</f>
        <v>0</v>
      </c>
      <c r="I207" s="155">
        <f>I20*'3. PREÇOS INSUMOS'!J109</f>
        <v>0</v>
      </c>
      <c r="J207" s="155">
        <f>J20*'3. PREÇOS INSUMOS'!K109</f>
        <v>0</v>
      </c>
      <c r="K207" s="155">
        <f>K20*'3. PREÇOS INSUMOS'!L109</f>
        <v>0</v>
      </c>
      <c r="L207" s="155">
        <f>L20*'3. PREÇOS INSUMOS'!M109</f>
        <v>0</v>
      </c>
      <c r="M207" s="155">
        <f>M20*'3. PREÇOS INSUMOS'!N109</f>
        <v>0</v>
      </c>
      <c r="N207" s="155">
        <f>N20*'3. PREÇOS INSUMOS'!O109</f>
        <v>0</v>
      </c>
      <c r="O207" s="155">
        <f>O20*'3. PREÇOS INSUMOS'!P109</f>
        <v>0</v>
      </c>
      <c r="P207" s="155">
        <f>P20*'3. PREÇOS INSUMOS'!Q109</f>
        <v>0</v>
      </c>
      <c r="Q207" s="155">
        <f>Q20*'3. PREÇOS INSUMOS'!R109</f>
        <v>0</v>
      </c>
      <c r="R207" s="155">
        <f>R20*'3. PREÇOS INSUMOS'!S109</f>
        <v>0</v>
      </c>
      <c r="S207" s="155">
        <f>S20*'3. PREÇOS INSUMOS'!T109</f>
        <v>0</v>
      </c>
      <c r="T207" s="156">
        <f>T20*'3. PREÇOS INSUMOS'!U109</f>
        <v>0</v>
      </c>
    </row>
    <row r="208" spans="1:20" outlineLevel="1">
      <c r="A208" s="4"/>
      <c r="C208" s="110">
        <v>6</v>
      </c>
      <c r="D208" s="108" t="s">
        <v>94</v>
      </c>
      <c r="E208" s="155">
        <f>E21*'3. PREÇOS INSUMOS'!G110</f>
        <v>0</v>
      </c>
      <c r="F208" s="155">
        <f>F21*'3. PREÇOS INSUMOS'!G110</f>
        <v>0</v>
      </c>
      <c r="G208" s="155">
        <f>G21*'3. PREÇOS INSUMOS'!H110</f>
        <v>0</v>
      </c>
      <c r="H208" s="155">
        <f>H21*'3. PREÇOS INSUMOS'!I110</f>
        <v>0</v>
      </c>
      <c r="I208" s="155">
        <f>I21*'3. PREÇOS INSUMOS'!J110</f>
        <v>0</v>
      </c>
      <c r="J208" s="155">
        <f>J21*'3. PREÇOS INSUMOS'!K110</f>
        <v>0</v>
      </c>
      <c r="K208" s="155">
        <f>K21*'3. PREÇOS INSUMOS'!L110</f>
        <v>0</v>
      </c>
      <c r="L208" s="155">
        <f>L21*'3. PREÇOS INSUMOS'!M110</f>
        <v>0</v>
      </c>
      <c r="M208" s="155">
        <f>M21*'3. PREÇOS INSUMOS'!N110</f>
        <v>0</v>
      </c>
      <c r="N208" s="155">
        <f>N21*'3. PREÇOS INSUMOS'!O110</f>
        <v>0</v>
      </c>
      <c r="O208" s="155">
        <f>O21*'3. PREÇOS INSUMOS'!P110</f>
        <v>0</v>
      </c>
      <c r="P208" s="155">
        <f>P21*'3. PREÇOS INSUMOS'!Q110</f>
        <v>0</v>
      </c>
      <c r="Q208" s="155">
        <f>Q21*'3. PREÇOS INSUMOS'!R110</f>
        <v>0</v>
      </c>
      <c r="R208" s="155">
        <f>R21*'3. PREÇOS INSUMOS'!S110</f>
        <v>0</v>
      </c>
      <c r="S208" s="155">
        <f>S21*'3. PREÇOS INSUMOS'!T110</f>
        <v>0</v>
      </c>
      <c r="T208" s="156">
        <f>T21*'3. PREÇOS INSUMOS'!U110</f>
        <v>0</v>
      </c>
    </row>
    <row r="209" spans="1:21" outlineLevel="1">
      <c r="A209" s="4"/>
      <c r="C209" s="110">
        <v>7</v>
      </c>
      <c r="D209" s="108" t="s">
        <v>95</v>
      </c>
      <c r="E209" s="155">
        <f>E22*'3. PREÇOS INSUMOS'!G111</f>
        <v>0</v>
      </c>
      <c r="F209" s="155">
        <f>F22*'3. PREÇOS INSUMOS'!G111</f>
        <v>0</v>
      </c>
      <c r="G209" s="155">
        <f>G22*'3. PREÇOS INSUMOS'!H111</f>
        <v>0</v>
      </c>
      <c r="H209" s="155">
        <f>H22*'3. PREÇOS INSUMOS'!I111</f>
        <v>0</v>
      </c>
      <c r="I209" s="155">
        <f>I22*'3. PREÇOS INSUMOS'!J111</f>
        <v>0</v>
      </c>
      <c r="J209" s="155">
        <f>J22*'3. PREÇOS INSUMOS'!K111</f>
        <v>0</v>
      </c>
      <c r="K209" s="155">
        <f>K22*'3. PREÇOS INSUMOS'!L111</f>
        <v>0</v>
      </c>
      <c r="L209" s="155">
        <f>L22*'3. PREÇOS INSUMOS'!M111</f>
        <v>0</v>
      </c>
      <c r="M209" s="155">
        <f>M22*'3. PREÇOS INSUMOS'!N111</f>
        <v>0</v>
      </c>
      <c r="N209" s="155">
        <f>N22*'3. PREÇOS INSUMOS'!O111</f>
        <v>0</v>
      </c>
      <c r="O209" s="155">
        <f>O22*'3. PREÇOS INSUMOS'!P111</f>
        <v>0</v>
      </c>
      <c r="P209" s="155">
        <f>P22*'3. PREÇOS INSUMOS'!Q111</f>
        <v>0</v>
      </c>
      <c r="Q209" s="155">
        <f>Q22*'3. PREÇOS INSUMOS'!R111</f>
        <v>0</v>
      </c>
      <c r="R209" s="155">
        <f>R22*'3. PREÇOS INSUMOS'!S111</f>
        <v>0</v>
      </c>
      <c r="S209" s="155">
        <f>S22*'3. PREÇOS INSUMOS'!T111</f>
        <v>0</v>
      </c>
      <c r="T209" s="156">
        <f>T22*'3. PREÇOS INSUMOS'!U111</f>
        <v>0</v>
      </c>
    </row>
    <row r="210" spans="1:21" outlineLevel="1">
      <c r="A210" s="4"/>
      <c r="C210" s="110">
        <v>8</v>
      </c>
      <c r="D210" s="108" t="s">
        <v>96</v>
      </c>
      <c r="E210" s="155">
        <f>E23*'3. PREÇOS INSUMOS'!G112</f>
        <v>0</v>
      </c>
      <c r="F210" s="155">
        <f>F23*'3. PREÇOS INSUMOS'!G112</f>
        <v>0</v>
      </c>
      <c r="G210" s="155">
        <f>G23*'3. PREÇOS INSUMOS'!H112</f>
        <v>0</v>
      </c>
      <c r="H210" s="155">
        <f>H23*'3. PREÇOS INSUMOS'!I112</f>
        <v>0</v>
      </c>
      <c r="I210" s="155">
        <f>I23*'3. PREÇOS INSUMOS'!J112</f>
        <v>0</v>
      </c>
      <c r="J210" s="155">
        <f>J23*'3. PREÇOS INSUMOS'!K112</f>
        <v>0</v>
      </c>
      <c r="K210" s="155">
        <f>K23*'3. PREÇOS INSUMOS'!L112</f>
        <v>0</v>
      </c>
      <c r="L210" s="155">
        <f>L23*'3. PREÇOS INSUMOS'!M112</f>
        <v>0</v>
      </c>
      <c r="M210" s="155">
        <f>M23*'3. PREÇOS INSUMOS'!N112</f>
        <v>0</v>
      </c>
      <c r="N210" s="155">
        <f>N23*'3. PREÇOS INSUMOS'!O112</f>
        <v>0</v>
      </c>
      <c r="O210" s="155">
        <f>O23*'3. PREÇOS INSUMOS'!P112</f>
        <v>0</v>
      </c>
      <c r="P210" s="155">
        <f>P23*'3. PREÇOS INSUMOS'!Q112</f>
        <v>0</v>
      </c>
      <c r="Q210" s="155">
        <f>Q23*'3. PREÇOS INSUMOS'!R112</f>
        <v>0</v>
      </c>
      <c r="R210" s="155">
        <f>R23*'3. PREÇOS INSUMOS'!S112</f>
        <v>0</v>
      </c>
      <c r="S210" s="155">
        <f>S23*'3. PREÇOS INSUMOS'!T112</f>
        <v>0</v>
      </c>
      <c r="T210" s="156">
        <f>T23*'3. PREÇOS INSUMOS'!U112</f>
        <v>0</v>
      </c>
    </row>
    <row r="211" spans="1:21" outlineLevel="1">
      <c r="A211" s="4"/>
      <c r="C211" s="110">
        <v>9</v>
      </c>
      <c r="D211" s="108" t="s">
        <v>97</v>
      </c>
      <c r="E211" s="155">
        <f>E24*'3. PREÇOS INSUMOS'!G113</f>
        <v>0</v>
      </c>
      <c r="F211" s="155">
        <f>F24*'3. PREÇOS INSUMOS'!G113</f>
        <v>0</v>
      </c>
      <c r="G211" s="155">
        <f>G24*'3. PREÇOS INSUMOS'!H113</f>
        <v>0</v>
      </c>
      <c r="H211" s="155">
        <f>H24*'3. PREÇOS INSUMOS'!I113</f>
        <v>0</v>
      </c>
      <c r="I211" s="155">
        <f>I24*'3. PREÇOS INSUMOS'!J113</f>
        <v>0</v>
      </c>
      <c r="J211" s="155">
        <f>J24*'3. PREÇOS INSUMOS'!K113</f>
        <v>0</v>
      </c>
      <c r="K211" s="155">
        <f>K24*'3. PREÇOS INSUMOS'!L113</f>
        <v>0</v>
      </c>
      <c r="L211" s="155">
        <f>L24*'3. PREÇOS INSUMOS'!M113</f>
        <v>0</v>
      </c>
      <c r="M211" s="155">
        <f>M24*'3. PREÇOS INSUMOS'!N113</f>
        <v>0</v>
      </c>
      <c r="N211" s="155">
        <f>N24*'3. PREÇOS INSUMOS'!O113</f>
        <v>0</v>
      </c>
      <c r="O211" s="155">
        <f>O24*'3. PREÇOS INSUMOS'!P113</f>
        <v>0</v>
      </c>
      <c r="P211" s="155">
        <f>P24*'3. PREÇOS INSUMOS'!Q113</f>
        <v>0</v>
      </c>
      <c r="Q211" s="155">
        <f>Q24*'3. PREÇOS INSUMOS'!R113</f>
        <v>0</v>
      </c>
      <c r="R211" s="155">
        <f>R24*'3. PREÇOS INSUMOS'!S113</f>
        <v>0</v>
      </c>
      <c r="S211" s="155">
        <f>S24*'3. PREÇOS INSUMOS'!T113</f>
        <v>0</v>
      </c>
      <c r="T211" s="156">
        <f>T24*'3. PREÇOS INSUMOS'!U113</f>
        <v>0</v>
      </c>
    </row>
    <row r="212" spans="1:21" outlineLevel="1">
      <c r="A212" s="4"/>
      <c r="C212" s="110">
        <v>10</v>
      </c>
      <c r="D212" s="109" t="s">
        <v>98</v>
      </c>
      <c r="E212" s="155">
        <f>E25*'3. PREÇOS INSUMOS'!G114</f>
        <v>0</v>
      </c>
      <c r="F212" s="155">
        <f>F25*'3. PREÇOS INSUMOS'!G114</f>
        <v>0</v>
      </c>
      <c r="G212" s="155">
        <f>G25*'3. PREÇOS INSUMOS'!H114</f>
        <v>0</v>
      </c>
      <c r="H212" s="155">
        <f>H25*'3. PREÇOS INSUMOS'!I114</f>
        <v>0</v>
      </c>
      <c r="I212" s="155">
        <f>I25*'3. PREÇOS INSUMOS'!J114</f>
        <v>0</v>
      </c>
      <c r="J212" s="155">
        <f>J25*'3. PREÇOS INSUMOS'!K114</f>
        <v>0</v>
      </c>
      <c r="K212" s="155">
        <f>K25*'3. PREÇOS INSUMOS'!L114</f>
        <v>0</v>
      </c>
      <c r="L212" s="155">
        <f>L25*'3. PREÇOS INSUMOS'!M114</f>
        <v>0</v>
      </c>
      <c r="M212" s="155">
        <f>M25*'3. PREÇOS INSUMOS'!N114</f>
        <v>0</v>
      </c>
      <c r="N212" s="155">
        <f>N25*'3. PREÇOS INSUMOS'!O114</f>
        <v>0</v>
      </c>
      <c r="O212" s="155">
        <f>O25*'3. PREÇOS INSUMOS'!P114</f>
        <v>0</v>
      </c>
      <c r="P212" s="155">
        <f>P25*'3. PREÇOS INSUMOS'!Q114</f>
        <v>0</v>
      </c>
      <c r="Q212" s="155">
        <f>Q25*'3. PREÇOS INSUMOS'!R114</f>
        <v>0</v>
      </c>
      <c r="R212" s="155">
        <f>R25*'3. PREÇOS INSUMOS'!S114</f>
        <v>0</v>
      </c>
      <c r="S212" s="155">
        <f>S25*'3. PREÇOS INSUMOS'!T114</f>
        <v>0</v>
      </c>
      <c r="T212" s="156">
        <f>T25*'3. PREÇOS INSUMOS'!U114</f>
        <v>0</v>
      </c>
    </row>
    <row r="213" spans="1:21" outlineLevel="1">
      <c r="A213" s="4"/>
      <c r="C213" s="111" t="s">
        <v>88</v>
      </c>
      <c r="D213" s="112"/>
      <c r="E213" s="157">
        <f>SUM(E202:E212)</f>
        <v>356717.38666666666</v>
      </c>
      <c r="F213" s="157">
        <f t="shared" ref="F213:T213" si="121">SUM(F202:F212)</f>
        <v>0</v>
      </c>
      <c r="G213" s="157">
        <f t="shared" si="121"/>
        <v>0</v>
      </c>
      <c r="H213" s="157">
        <f t="shared" si="121"/>
        <v>0</v>
      </c>
      <c r="I213" s="157">
        <f t="shared" si="121"/>
        <v>0</v>
      </c>
      <c r="J213" s="157">
        <f t="shared" si="121"/>
        <v>1223031.04</v>
      </c>
      <c r="K213" s="157">
        <f t="shared" si="121"/>
        <v>0</v>
      </c>
      <c r="L213" s="157">
        <f t="shared" si="121"/>
        <v>0</v>
      </c>
      <c r="M213" s="157">
        <f t="shared" si="121"/>
        <v>0</v>
      </c>
      <c r="N213" s="157">
        <f t="shared" si="121"/>
        <v>0</v>
      </c>
      <c r="O213" s="157">
        <f t="shared" si="121"/>
        <v>0</v>
      </c>
      <c r="P213" s="157">
        <f t="shared" si="121"/>
        <v>0</v>
      </c>
      <c r="Q213" s="157">
        <f t="shared" si="121"/>
        <v>0</v>
      </c>
      <c r="R213" s="157">
        <f t="shared" si="121"/>
        <v>1223031.04</v>
      </c>
      <c r="S213" s="157">
        <f t="shared" si="121"/>
        <v>0</v>
      </c>
      <c r="T213" s="158">
        <f t="shared" si="121"/>
        <v>0</v>
      </c>
    </row>
    <row r="214" spans="1:21">
      <c r="A214" s="4"/>
      <c r="C214" s="71"/>
      <c r="D214" s="71"/>
      <c r="E214" s="165"/>
      <c r="F214" s="165"/>
      <c r="G214" s="165"/>
      <c r="H214" s="165"/>
      <c r="I214" s="165"/>
      <c r="J214" s="165"/>
      <c r="K214" s="165"/>
      <c r="L214" s="165"/>
      <c r="M214" s="165"/>
      <c r="N214" s="165"/>
      <c r="O214" s="165"/>
      <c r="P214" s="165"/>
      <c r="Q214" s="165"/>
      <c r="R214" s="165"/>
      <c r="S214" s="165"/>
      <c r="T214" s="165"/>
    </row>
    <row r="215" spans="1:21" s="4" customFormat="1" ht="15.75">
      <c r="A215" s="2">
        <v>2</v>
      </c>
      <c r="B215" s="2"/>
      <c r="C215" s="476" t="str">
        <f>"7.2.1.2 - "&amp;VLOOKUP(A215,TIPOLOGIA!$D$10:$E$12,2,0)&amp;" para cálculo dos investimentos em frota"</f>
        <v>7.2.1.2 - CONVENCIONAL para cálculo dos investimentos em frota</v>
      </c>
      <c r="D215" s="476"/>
      <c r="E215" s="476"/>
      <c r="F215" s="476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2"/>
    </row>
    <row r="216" spans="1:21" s="454" customFormat="1" ht="18" customHeight="1">
      <c r="B216" s="2"/>
      <c r="C216" s="694" t="s">
        <v>86</v>
      </c>
      <c r="D216" s="705"/>
      <c r="E216" s="657" t="s">
        <v>99</v>
      </c>
      <c r="F216" s="106">
        <v>1</v>
      </c>
      <c r="G216" s="106">
        <f t="shared" ref="G216:T216" si="122">+F216+1</f>
        <v>2</v>
      </c>
      <c r="H216" s="106">
        <f t="shared" si="122"/>
        <v>3</v>
      </c>
      <c r="I216" s="106">
        <f t="shared" si="122"/>
        <v>4</v>
      </c>
      <c r="J216" s="106">
        <f t="shared" si="122"/>
        <v>5</v>
      </c>
      <c r="K216" s="106">
        <f t="shared" si="122"/>
        <v>6</v>
      </c>
      <c r="L216" s="106">
        <f t="shared" si="122"/>
        <v>7</v>
      </c>
      <c r="M216" s="106">
        <f t="shared" si="122"/>
        <v>8</v>
      </c>
      <c r="N216" s="106">
        <f t="shared" si="122"/>
        <v>9</v>
      </c>
      <c r="O216" s="106">
        <f t="shared" si="122"/>
        <v>10</v>
      </c>
      <c r="P216" s="106">
        <f t="shared" si="122"/>
        <v>11</v>
      </c>
      <c r="Q216" s="106">
        <f t="shared" si="122"/>
        <v>12</v>
      </c>
      <c r="R216" s="106">
        <f t="shared" si="122"/>
        <v>13</v>
      </c>
      <c r="S216" s="106">
        <f t="shared" si="122"/>
        <v>14</v>
      </c>
      <c r="T216" s="107">
        <f t="shared" si="122"/>
        <v>15</v>
      </c>
      <c r="U216" s="2"/>
    </row>
    <row r="217" spans="1:21">
      <c r="C217" s="110">
        <v>0</v>
      </c>
      <c r="D217" s="108" t="s">
        <v>87</v>
      </c>
      <c r="E217" s="155">
        <f>E31*'3. PREÇOS INSUMOS'!G66</f>
        <v>0</v>
      </c>
      <c r="F217" s="155">
        <f>F31*'3. PREÇOS INSUMOS'!H66</f>
        <v>0</v>
      </c>
      <c r="G217" s="155">
        <f>G31*'3. PREÇOS INSUMOS'!I66</f>
        <v>1164000</v>
      </c>
      <c r="H217" s="155">
        <f>H31*'3. PREÇOS INSUMOS'!J66</f>
        <v>776000</v>
      </c>
      <c r="I217" s="155">
        <f>I31*'3. PREÇOS INSUMOS'!K66</f>
        <v>776000</v>
      </c>
      <c r="J217" s="155">
        <f>J31*'3. PREÇOS INSUMOS'!L66</f>
        <v>1164000</v>
      </c>
      <c r="K217" s="155">
        <f>K31*'3. PREÇOS INSUMOS'!M66</f>
        <v>0</v>
      </c>
      <c r="L217" s="155">
        <f>L31*'3. PREÇOS INSUMOS'!N66</f>
        <v>0</v>
      </c>
      <c r="M217" s="155">
        <f>M31*'3. PREÇOS INSUMOS'!O66</f>
        <v>0</v>
      </c>
      <c r="N217" s="155">
        <f>N31*'3. PREÇOS INSUMOS'!P66</f>
        <v>388000</v>
      </c>
      <c r="O217" s="155">
        <f>O31*'3. PREÇOS INSUMOS'!Q66</f>
        <v>388000</v>
      </c>
      <c r="P217" s="155">
        <f>P31*'3. PREÇOS INSUMOS'!R66</f>
        <v>1164000</v>
      </c>
      <c r="Q217" s="155">
        <f>Q31*'3. PREÇOS INSUMOS'!S66</f>
        <v>776000</v>
      </c>
      <c r="R217" s="155">
        <f>R31*'3. PREÇOS INSUMOS'!T66</f>
        <v>1164000</v>
      </c>
      <c r="S217" s="155">
        <f>S31*'3. PREÇOS INSUMOS'!U66</f>
        <v>0</v>
      </c>
      <c r="T217" s="156">
        <f>T31*'3. PREÇOS INSUMOS'!V66</f>
        <v>0</v>
      </c>
    </row>
    <row r="218" spans="1:21" ht="18" customHeight="1">
      <c r="C218" s="110">
        <v>1</v>
      </c>
      <c r="D218" s="108" t="s">
        <v>89</v>
      </c>
      <c r="E218" s="155">
        <f>E32*'3. PREÇOS INSUMOS'!G67</f>
        <v>0</v>
      </c>
      <c r="F218" s="155">
        <f>F32*'3. PREÇOS INSUMOS'!H67</f>
        <v>0</v>
      </c>
      <c r="G218" s="155">
        <f>G32*'3. PREÇOS INSUMOS'!I67</f>
        <v>0</v>
      </c>
      <c r="H218" s="155">
        <f>H32*'3. PREÇOS INSUMOS'!J67</f>
        <v>0</v>
      </c>
      <c r="I218" s="155">
        <f>I32*'3. PREÇOS INSUMOS'!K67</f>
        <v>0</v>
      </c>
      <c r="J218" s="155">
        <f>J32*'3. PREÇOS INSUMOS'!L67</f>
        <v>0</v>
      </c>
      <c r="K218" s="155">
        <f>K32*'3. PREÇOS INSUMOS'!M67</f>
        <v>0</v>
      </c>
      <c r="L218" s="155">
        <f>L32*'3. PREÇOS INSUMOS'!N67</f>
        <v>0</v>
      </c>
      <c r="M218" s="155">
        <f>M32*'3. PREÇOS INSUMOS'!O67</f>
        <v>0</v>
      </c>
      <c r="N218" s="155">
        <f>N32*'3. PREÇOS INSUMOS'!P67</f>
        <v>0</v>
      </c>
      <c r="O218" s="155">
        <f>O32*'3. PREÇOS INSUMOS'!Q67</f>
        <v>0</v>
      </c>
      <c r="P218" s="155">
        <f>P32*'3. PREÇOS INSUMOS'!R67</f>
        <v>0</v>
      </c>
      <c r="Q218" s="155">
        <f>Q32*'3. PREÇOS INSUMOS'!S67</f>
        <v>0</v>
      </c>
      <c r="R218" s="155">
        <f>R32*'3. PREÇOS INSUMOS'!T67</f>
        <v>0</v>
      </c>
      <c r="S218" s="155">
        <f>S32*'3. PREÇOS INSUMOS'!U67</f>
        <v>0</v>
      </c>
      <c r="T218" s="156">
        <f>T32*'3. PREÇOS INSUMOS'!V67</f>
        <v>0</v>
      </c>
    </row>
    <row r="219" spans="1:21">
      <c r="C219" s="110">
        <v>2</v>
      </c>
      <c r="D219" s="108" t="s">
        <v>90</v>
      </c>
      <c r="E219" s="155">
        <f>E33*'3. PREÇOS INSUMOS'!G68</f>
        <v>0</v>
      </c>
      <c r="F219" s="155">
        <f>F33*'3. PREÇOS INSUMOS'!H68</f>
        <v>0</v>
      </c>
      <c r="G219" s="155">
        <f>G33*'3. PREÇOS INSUMOS'!I68</f>
        <v>0</v>
      </c>
      <c r="H219" s="155">
        <f>H33*'3. PREÇOS INSUMOS'!J68</f>
        <v>0</v>
      </c>
      <c r="I219" s="155">
        <f>I33*'3. PREÇOS INSUMOS'!K68</f>
        <v>0</v>
      </c>
      <c r="J219" s="155">
        <f>J33*'3. PREÇOS INSUMOS'!L68</f>
        <v>0</v>
      </c>
      <c r="K219" s="155">
        <f>K33*'3. PREÇOS INSUMOS'!M68</f>
        <v>0</v>
      </c>
      <c r="L219" s="155">
        <f>L33*'3. PREÇOS INSUMOS'!N68</f>
        <v>0</v>
      </c>
      <c r="M219" s="155">
        <f>M33*'3. PREÇOS INSUMOS'!O68</f>
        <v>0</v>
      </c>
      <c r="N219" s="155">
        <f>N33*'3. PREÇOS INSUMOS'!P68</f>
        <v>0</v>
      </c>
      <c r="O219" s="155">
        <f>O33*'3. PREÇOS INSUMOS'!Q68</f>
        <v>0</v>
      </c>
      <c r="P219" s="155">
        <f>P33*'3. PREÇOS INSUMOS'!R68</f>
        <v>0</v>
      </c>
      <c r="Q219" s="155">
        <f>Q33*'3. PREÇOS INSUMOS'!S68</f>
        <v>0</v>
      </c>
      <c r="R219" s="155">
        <f>R33*'3. PREÇOS INSUMOS'!T68</f>
        <v>0</v>
      </c>
      <c r="S219" s="155">
        <f>S33*'3. PREÇOS INSUMOS'!U68</f>
        <v>0</v>
      </c>
      <c r="T219" s="156">
        <f>T33*'3. PREÇOS INSUMOS'!V68</f>
        <v>0</v>
      </c>
    </row>
    <row r="220" spans="1:21">
      <c r="C220" s="110">
        <v>3</v>
      </c>
      <c r="D220" s="108" t="s">
        <v>91</v>
      </c>
      <c r="E220" s="155">
        <f>E34*'3. PREÇOS INSUMOS'!G69</f>
        <v>0</v>
      </c>
      <c r="F220" s="155">
        <f>F34*'3. PREÇOS INSUMOS'!H69</f>
        <v>0</v>
      </c>
      <c r="G220" s="155">
        <f>G34*'3. PREÇOS INSUMOS'!I69</f>
        <v>0</v>
      </c>
      <c r="H220" s="155">
        <f>H34*'3. PREÇOS INSUMOS'!J69</f>
        <v>0</v>
      </c>
      <c r="I220" s="155">
        <f>I34*'3. PREÇOS INSUMOS'!K69</f>
        <v>0</v>
      </c>
      <c r="J220" s="155">
        <f>J34*'3. PREÇOS INSUMOS'!L69</f>
        <v>0</v>
      </c>
      <c r="K220" s="155">
        <f>K34*'3. PREÇOS INSUMOS'!M69</f>
        <v>0</v>
      </c>
      <c r="L220" s="155">
        <f>L34*'3. PREÇOS INSUMOS'!N69</f>
        <v>0</v>
      </c>
      <c r="M220" s="155">
        <f>M34*'3. PREÇOS INSUMOS'!O69</f>
        <v>0</v>
      </c>
      <c r="N220" s="155">
        <f>N34*'3. PREÇOS INSUMOS'!P69</f>
        <v>0</v>
      </c>
      <c r="O220" s="155">
        <f>O34*'3. PREÇOS INSUMOS'!Q69</f>
        <v>0</v>
      </c>
      <c r="P220" s="155">
        <f>P34*'3. PREÇOS INSUMOS'!R69</f>
        <v>0</v>
      </c>
      <c r="Q220" s="155">
        <f>Q34*'3. PREÇOS INSUMOS'!S69</f>
        <v>0</v>
      </c>
      <c r="R220" s="155">
        <f>R34*'3. PREÇOS INSUMOS'!T69</f>
        <v>0</v>
      </c>
      <c r="S220" s="155">
        <f>S34*'3. PREÇOS INSUMOS'!U69</f>
        <v>0</v>
      </c>
      <c r="T220" s="156">
        <f>T34*'3. PREÇOS INSUMOS'!V69</f>
        <v>0</v>
      </c>
    </row>
    <row r="221" spans="1:21">
      <c r="C221" s="110">
        <v>4</v>
      </c>
      <c r="D221" s="108" t="s">
        <v>92</v>
      </c>
      <c r="E221" s="155">
        <f>E35*'3. PREÇOS INSUMOS'!G70</f>
        <v>0</v>
      </c>
      <c r="F221" s="155">
        <f>F35*'3. PREÇOS INSUMOS'!H70</f>
        <v>0</v>
      </c>
      <c r="G221" s="155">
        <f>G35*'3. PREÇOS INSUMOS'!I70</f>
        <v>0</v>
      </c>
      <c r="H221" s="155">
        <f>H35*'3. PREÇOS INSUMOS'!J70</f>
        <v>0</v>
      </c>
      <c r="I221" s="155">
        <f>I35*'3. PREÇOS INSUMOS'!K70</f>
        <v>0</v>
      </c>
      <c r="J221" s="155">
        <f>J35*'3. PREÇOS INSUMOS'!L70</f>
        <v>0</v>
      </c>
      <c r="K221" s="155">
        <f>K35*'3. PREÇOS INSUMOS'!M70</f>
        <v>0</v>
      </c>
      <c r="L221" s="155">
        <f>L35*'3. PREÇOS INSUMOS'!N70</f>
        <v>0</v>
      </c>
      <c r="M221" s="155">
        <f>M35*'3. PREÇOS INSUMOS'!O70</f>
        <v>0</v>
      </c>
      <c r="N221" s="155">
        <f>N35*'3. PREÇOS INSUMOS'!P70</f>
        <v>0</v>
      </c>
      <c r="O221" s="155">
        <f>O35*'3. PREÇOS INSUMOS'!Q70</f>
        <v>0</v>
      </c>
      <c r="P221" s="155">
        <f>P35*'3. PREÇOS INSUMOS'!R70</f>
        <v>0</v>
      </c>
      <c r="Q221" s="155">
        <f>Q35*'3. PREÇOS INSUMOS'!S70</f>
        <v>0</v>
      </c>
      <c r="R221" s="155">
        <f>R35*'3. PREÇOS INSUMOS'!T70</f>
        <v>0</v>
      </c>
      <c r="S221" s="155">
        <f>S35*'3. PREÇOS INSUMOS'!U70</f>
        <v>0</v>
      </c>
      <c r="T221" s="156">
        <f>T35*'3. PREÇOS INSUMOS'!V70</f>
        <v>0</v>
      </c>
    </row>
    <row r="222" spans="1:21">
      <c r="C222" s="110">
        <v>5</v>
      </c>
      <c r="D222" s="108" t="s">
        <v>93</v>
      </c>
      <c r="E222" s="155">
        <f>E36*'3. PREÇOS INSUMOS'!G71</f>
        <v>970000</v>
      </c>
      <c r="F222" s="155">
        <f>F36*'3. PREÇOS INSUMOS'!H71</f>
        <v>0</v>
      </c>
      <c r="G222" s="155">
        <f>G36*'3. PREÇOS INSUMOS'!I71</f>
        <v>0</v>
      </c>
      <c r="H222" s="155">
        <f>H36*'3. PREÇOS INSUMOS'!J71</f>
        <v>0</v>
      </c>
      <c r="I222" s="155">
        <f>I36*'3. PREÇOS INSUMOS'!K71</f>
        <v>0</v>
      </c>
      <c r="J222" s="155">
        <f>J36*'3. PREÇOS INSUMOS'!L71</f>
        <v>0</v>
      </c>
      <c r="K222" s="155">
        <f>K36*'3. PREÇOS INSUMOS'!M71</f>
        <v>0</v>
      </c>
      <c r="L222" s="155">
        <f>L36*'3. PREÇOS INSUMOS'!N71</f>
        <v>0</v>
      </c>
      <c r="M222" s="155">
        <f>M36*'3. PREÇOS INSUMOS'!O71</f>
        <v>0</v>
      </c>
      <c r="N222" s="155">
        <f>N36*'3. PREÇOS INSUMOS'!P71</f>
        <v>0</v>
      </c>
      <c r="O222" s="155">
        <f>O36*'3. PREÇOS INSUMOS'!Q71</f>
        <v>0</v>
      </c>
      <c r="P222" s="155">
        <f>P36*'3. PREÇOS INSUMOS'!R71</f>
        <v>0</v>
      </c>
      <c r="Q222" s="155">
        <f>Q36*'3. PREÇOS INSUMOS'!S71</f>
        <v>0</v>
      </c>
      <c r="R222" s="155">
        <f>R36*'3. PREÇOS INSUMOS'!T71</f>
        <v>0</v>
      </c>
      <c r="S222" s="155">
        <f>S36*'3. PREÇOS INSUMOS'!U71</f>
        <v>0</v>
      </c>
      <c r="T222" s="156">
        <f>T36*'3. PREÇOS INSUMOS'!V71</f>
        <v>0</v>
      </c>
    </row>
    <row r="223" spans="1:21">
      <c r="C223" s="110">
        <v>6</v>
      </c>
      <c r="D223" s="108" t="s">
        <v>94</v>
      </c>
      <c r="E223" s="155">
        <f>E37*'3. PREÇOS INSUMOS'!G72</f>
        <v>0</v>
      </c>
      <c r="F223" s="155">
        <f>F37*'3. PREÇOS INSUMOS'!H72</f>
        <v>0</v>
      </c>
      <c r="G223" s="155">
        <f>G37*'3. PREÇOS INSUMOS'!I72</f>
        <v>0</v>
      </c>
      <c r="H223" s="155">
        <f>H37*'3. PREÇOS INSUMOS'!J72</f>
        <v>0</v>
      </c>
      <c r="I223" s="155">
        <f>I37*'3. PREÇOS INSUMOS'!K72</f>
        <v>0</v>
      </c>
      <c r="J223" s="155">
        <f>J37*'3. PREÇOS INSUMOS'!L72</f>
        <v>0</v>
      </c>
      <c r="K223" s="155">
        <f>K37*'3. PREÇOS INSUMOS'!M72</f>
        <v>0</v>
      </c>
      <c r="L223" s="155">
        <f>L37*'3. PREÇOS INSUMOS'!N72</f>
        <v>0</v>
      </c>
      <c r="M223" s="155">
        <f>M37*'3. PREÇOS INSUMOS'!O72</f>
        <v>0</v>
      </c>
      <c r="N223" s="155">
        <f>N37*'3. PREÇOS INSUMOS'!P72</f>
        <v>0</v>
      </c>
      <c r="O223" s="155">
        <f>O37*'3. PREÇOS INSUMOS'!Q72</f>
        <v>0</v>
      </c>
      <c r="P223" s="155">
        <f>P37*'3. PREÇOS INSUMOS'!R72</f>
        <v>0</v>
      </c>
      <c r="Q223" s="155">
        <f>Q37*'3. PREÇOS INSUMOS'!S72</f>
        <v>0</v>
      </c>
      <c r="R223" s="155">
        <f>R37*'3. PREÇOS INSUMOS'!T72</f>
        <v>0</v>
      </c>
      <c r="S223" s="155">
        <f>S37*'3. PREÇOS INSUMOS'!U72</f>
        <v>0</v>
      </c>
      <c r="T223" s="156">
        <f>T37*'3. PREÇOS INSUMOS'!V72</f>
        <v>0</v>
      </c>
    </row>
    <row r="224" spans="1:21">
      <c r="C224" s="110">
        <v>7</v>
      </c>
      <c r="D224" s="108" t="s">
        <v>95</v>
      </c>
      <c r="E224" s="155">
        <f>E38*'3. PREÇOS INSUMOS'!G73</f>
        <v>0</v>
      </c>
      <c r="F224" s="155">
        <f>F38*'3. PREÇOS INSUMOS'!H73</f>
        <v>0</v>
      </c>
      <c r="G224" s="155">
        <f>G38*'3. PREÇOS INSUMOS'!I73</f>
        <v>0</v>
      </c>
      <c r="H224" s="155">
        <f>H38*'3. PREÇOS INSUMOS'!J73</f>
        <v>0</v>
      </c>
      <c r="I224" s="155">
        <f>I38*'3. PREÇOS INSUMOS'!K73</f>
        <v>0</v>
      </c>
      <c r="J224" s="155">
        <f>J38*'3. PREÇOS INSUMOS'!L73</f>
        <v>0</v>
      </c>
      <c r="K224" s="155">
        <f>K38*'3. PREÇOS INSUMOS'!M73</f>
        <v>0</v>
      </c>
      <c r="L224" s="155">
        <f>L38*'3. PREÇOS INSUMOS'!N73</f>
        <v>0</v>
      </c>
      <c r="M224" s="155">
        <f>M38*'3. PREÇOS INSUMOS'!O73</f>
        <v>0</v>
      </c>
      <c r="N224" s="155">
        <f>N38*'3. PREÇOS INSUMOS'!P73</f>
        <v>0</v>
      </c>
      <c r="O224" s="155">
        <f>O38*'3. PREÇOS INSUMOS'!Q73</f>
        <v>0</v>
      </c>
      <c r="P224" s="155">
        <f>P38*'3. PREÇOS INSUMOS'!R73</f>
        <v>0</v>
      </c>
      <c r="Q224" s="155">
        <f>Q38*'3. PREÇOS INSUMOS'!S73</f>
        <v>0</v>
      </c>
      <c r="R224" s="155">
        <f>R38*'3. PREÇOS INSUMOS'!T73</f>
        <v>0</v>
      </c>
      <c r="S224" s="155">
        <f>S38*'3. PREÇOS INSUMOS'!U73</f>
        <v>0</v>
      </c>
      <c r="T224" s="156">
        <f>T38*'3. PREÇOS INSUMOS'!V73</f>
        <v>0</v>
      </c>
    </row>
    <row r="225" spans="1:21">
      <c r="C225" s="110">
        <v>8</v>
      </c>
      <c r="D225" s="108" t="s">
        <v>96</v>
      </c>
      <c r="E225" s="155">
        <f>E39*'3. PREÇOS INSUMOS'!G74</f>
        <v>0</v>
      </c>
      <c r="F225" s="155">
        <f>F39*'3. PREÇOS INSUMOS'!H74</f>
        <v>0</v>
      </c>
      <c r="G225" s="155">
        <f>G39*'3. PREÇOS INSUMOS'!I74</f>
        <v>0</v>
      </c>
      <c r="H225" s="155">
        <f>H39*'3. PREÇOS INSUMOS'!J74</f>
        <v>0</v>
      </c>
      <c r="I225" s="155">
        <f>I39*'3. PREÇOS INSUMOS'!K74</f>
        <v>0</v>
      </c>
      <c r="J225" s="155">
        <f>J39*'3. PREÇOS INSUMOS'!L74</f>
        <v>0</v>
      </c>
      <c r="K225" s="155">
        <f>K39*'3. PREÇOS INSUMOS'!M74</f>
        <v>0</v>
      </c>
      <c r="L225" s="155">
        <f>L39*'3. PREÇOS INSUMOS'!N74</f>
        <v>0</v>
      </c>
      <c r="M225" s="155">
        <f>M39*'3. PREÇOS INSUMOS'!O74</f>
        <v>0</v>
      </c>
      <c r="N225" s="155">
        <f>N39*'3. PREÇOS INSUMOS'!P74</f>
        <v>0</v>
      </c>
      <c r="O225" s="155">
        <f>O39*'3. PREÇOS INSUMOS'!Q74</f>
        <v>0</v>
      </c>
      <c r="P225" s="155">
        <f>P39*'3. PREÇOS INSUMOS'!R74</f>
        <v>0</v>
      </c>
      <c r="Q225" s="155">
        <f>Q39*'3. PREÇOS INSUMOS'!S74</f>
        <v>0</v>
      </c>
      <c r="R225" s="155">
        <f>R39*'3. PREÇOS INSUMOS'!T74</f>
        <v>0</v>
      </c>
      <c r="S225" s="155">
        <f>S39*'3. PREÇOS INSUMOS'!U74</f>
        <v>0</v>
      </c>
      <c r="T225" s="156">
        <f>T39*'3. PREÇOS INSUMOS'!V74</f>
        <v>0</v>
      </c>
    </row>
    <row r="226" spans="1:21">
      <c r="C226" s="110">
        <v>9</v>
      </c>
      <c r="D226" s="108" t="s">
        <v>97</v>
      </c>
      <c r="E226" s="155">
        <f>E40*'3. PREÇOS INSUMOS'!G75</f>
        <v>0</v>
      </c>
      <c r="F226" s="155">
        <f>F40*'3. PREÇOS INSUMOS'!H75</f>
        <v>0</v>
      </c>
      <c r="G226" s="155">
        <f>G40*'3. PREÇOS INSUMOS'!I75</f>
        <v>0</v>
      </c>
      <c r="H226" s="155">
        <f>H40*'3. PREÇOS INSUMOS'!J75</f>
        <v>0</v>
      </c>
      <c r="I226" s="155">
        <f>I40*'3. PREÇOS INSUMOS'!K75</f>
        <v>0</v>
      </c>
      <c r="J226" s="155">
        <f>J40*'3. PREÇOS INSUMOS'!L75</f>
        <v>0</v>
      </c>
      <c r="K226" s="155">
        <f>K40*'3. PREÇOS INSUMOS'!M75</f>
        <v>0</v>
      </c>
      <c r="L226" s="155">
        <f>L40*'3. PREÇOS INSUMOS'!N75</f>
        <v>0</v>
      </c>
      <c r="M226" s="155">
        <f>M40*'3. PREÇOS INSUMOS'!O75</f>
        <v>0</v>
      </c>
      <c r="N226" s="155">
        <f>N40*'3. PREÇOS INSUMOS'!P75</f>
        <v>0</v>
      </c>
      <c r="O226" s="155">
        <f>O40*'3. PREÇOS INSUMOS'!Q75</f>
        <v>0</v>
      </c>
      <c r="P226" s="155">
        <f>P40*'3. PREÇOS INSUMOS'!R75</f>
        <v>0</v>
      </c>
      <c r="Q226" s="155">
        <f>Q40*'3. PREÇOS INSUMOS'!S75</f>
        <v>0</v>
      </c>
      <c r="R226" s="155">
        <f>R40*'3. PREÇOS INSUMOS'!T75</f>
        <v>0</v>
      </c>
      <c r="S226" s="155">
        <f>S40*'3. PREÇOS INSUMOS'!U75</f>
        <v>0</v>
      </c>
      <c r="T226" s="156">
        <f>T40*'3. PREÇOS INSUMOS'!V75</f>
        <v>0</v>
      </c>
    </row>
    <row r="227" spans="1:21">
      <c r="C227" s="110">
        <v>10</v>
      </c>
      <c r="D227" s="109" t="s">
        <v>98</v>
      </c>
      <c r="E227" s="155">
        <f>E41*'3. PREÇOS INSUMOS'!G76</f>
        <v>0</v>
      </c>
      <c r="F227" s="155">
        <f>F41*'3. PREÇOS INSUMOS'!H76</f>
        <v>0</v>
      </c>
      <c r="G227" s="155">
        <f>G41*'3. PREÇOS INSUMOS'!I76</f>
        <v>0</v>
      </c>
      <c r="H227" s="155">
        <f>H41*'3. PREÇOS INSUMOS'!J76</f>
        <v>0</v>
      </c>
      <c r="I227" s="155">
        <f>I41*'3. PREÇOS INSUMOS'!K76</f>
        <v>0</v>
      </c>
      <c r="J227" s="155">
        <f>J41*'3. PREÇOS INSUMOS'!L76</f>
        <v>0</v>
      </c>
      <c r="K227" s="155">
        <f>K41*'3. PREÇOS INSUMOS'!M76</f>
        <v>0</v>
      </c>
      <c r="L227" s="155">
        <f>L41*'3. PREÇOS INSUMOS'!N76</f>
        <v>0</v>
      </c>
      <c r="M227" s="155">
        <f>M41*'3. PREÇOS INSUMOS'!O76</f>
        <v>0</v>
      </c>
      <c r="N227" s="155">
        <f>N41*'3. PREÇOS INSUMOS'!P76</f>
        <v>0</v>
      </c>
      <c r="O227" s="155">
        <f>O41*'3. PREÇOS INSUMOS'!Q76</f>
        <v>0</v>
      </c>
      <c r="P227" s="155">
        <f>P41*'3. PREÇOS INSUMOS'!R76</f>
        <v>0</v>
      </c>
      <c r="Q227" s="155">
        <f>Q41*'3. PREÇOS INSUMOS'!S76</f>
        <v>0</v>
      </c>
      <c r="R227" s="155">
        <f>R41*'3. PREÇOS INSUMOS'!T76</f>
        <v>0</v>
      </c>
      <c r="S227" s="155">
        <f>S41*'3. PREÇOS INSUMOS'!U76</f>
        <v>0</v>
      </c>
      <c r="T227" s="156">
        <f>T41*'3. PREÇOS INSUMOS'!V76</f>
        <v>0</v>
      </c>
    </row>
    <row r="228" spans="1:21">
      <c r="A228" s="4"/>
      <c r="B228" s="4"/>
      <c r="C228" s="111" t="s">
        <v>88</v>
      </c>
      <c r="D228" s="112"/>
      <c r="E228" s="157">
        <f>SUM(E217:E227)</f>
        <v>970000</v>
      </c>
      <c r="F228" s="157">
        <f t="shared" ref="F228:T228" si="123">SUM(F217:F227)</f>
        <v>0</v>
      </c>
      <c r="G228" s="157">
        <f t="shared" si="123"/>
        <v>1164000</v>
      </c>
      <c r="H228" s="157">
        <f t="shared" si="123"/>
        <v>776000</v>
      </c>
      <c r="I228" s="157">
        <f t="shared" si="123"/>
        <v>776000</v>
      </c>
      <c r="J228" s="157">
        <f t="shared" si="123"/>
        <v>1164000</v>
      </c>
      <c r="K228" s="157">
        <f t="shared" si="123"/>
        <v>0</v>
      </c>
      <c r="L228" s="157">
        <f t="shared" si="123"/>
        <v>0</v>
      </c>
      <c r="M228" s="157">
        <f t="shared" si="123"/>
        <v>0</v>
      </c>
      <c r="N228" s="157">
        <f t="shared" si="123"/>
        <v>388000</v>
      </c>
      <c r="O228" s="157">
        <f t="shared" si="123"/>
        <v>388000</v>
      </c>
      <c r="P228" s="157">
        <f t="shared" si="123"/>
        <v>1164000</v>
      </c>
      <c r="Q228" s="157">
        <f t="shared" si="123"/>
        <v>776000</v>
      </c>
      <c r="R228" s="157">
        <f t="shared" si="123"/>
        <v>1164000</v>
      </c>
      <c r="S228" s="157">
        <f t="shared" si="123"/>
        <v>0</v>
      </c>
      <c r="T228" s="158">
        <f t="shared" si="123"/>
        <v>0</v>
      </c>
      <c r="U228" s="4"/>
    </row>
    <row r="229" spans="1:21" s="4" customFormat="1">
      <c r="A229" s="2"/>
      <c r="B229" s="2"/>
      <c r="C229" s="2"/>
      <c r="D229" s="2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2"/>
    </row>
    <row r="230" spans="1:21" s="4" customFormat="1" ht="15.75" outlineLevel="1">
      <c r="A230" s="2"/>
      <c r="B230" s="2"/>
      <c r="C230" s="2"/>
      <c r="D230" s="381" t="s">
        <v>468</v>
      </c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2"/>
    </row>
    <row r="231" spans="1:21" s="4" customFormat="1" outlineLevel="1">
      <c r="A231" s="2"/>
      <c r="B231" s="2"/>
      <c r="C231" s="705" t="s">
        <v>86</v>
      </c>
      <c r="D231" s="719"/>
      <c r="E231" s="657" t="s">
        <v>99</v>
      </c>
      <c r="F231" s="106">
        <v>1</v>
      </c>
      <c r="G231" s="106">
        <f t="shared" ref="G231" si="124">+F231+1</f>
        <v>2</v>
      </c>
      <c r="H231" s="106">
        <f t="shared" ref="H231" si="125">+G231+1</f>
        <v>3</v>
      </c>
      <c r="I231" s="106">
        <f t="shared" ref="I231" si="126">+H231+1</f>
        <v>4</v>
      </c>
      <c r="J231" s="106">
        <f t="shared" ref="J231" si="127">+I231+1</f>
        <v>5</v>
      </c>
      <c r="K231" s="106">
        <f t="shared" ref="K231" si="128">+J231+1</f>
        <v>6</v>
      </c>
      <c r="L231" s="106">
        <f t="shared" ref="L231" si="129">+K231+1</f>
        <v>7</v>
      </c>
      <c r="M231" s="106">
        <f t="shared" ref="M231" si="130">+L231+1</f>
        <v>8</v>
      </c>
      <c r="N231" s="106">
        <f t="shared" ref="N231" si="131">+M231+1</f>
        <v>9</v>
      </c>
      <c r="O231" s="106">
        <f t="shared" ref="O231" si="132">+N231+1</f>
        <v>10</v>
      </c>
      <c r="P231" s="106">
        <f t="shared" ref="P231" si="133">+O231+1</f>
        <v>11</v>
      </c>
      <c r="Q231" s="106">
        <f t="shared" ref="Q231" si="134">+P231+1</f>
        <v>12</v>
      </c>
      <c r="R231" s="106">
        <f t="shared" ref="R231" si="135">+Q231+1</f>
        <v>13</v>
      </c>
      <c r="S231" s="106">
        <f t="shared" ref="S231" si="136">+R231+1</f>
        <v>14</v>
      </c>
      <c r="T231" s="107">
        <f t="shared" ref="T231" si="137">+S231+1</f>
        <v>15</v>
      </c>
      <c r="U231" s="2"/>
    </row>
    <row r="232" spans="1:21" s="4" customFormat="1" outlineLevel="1">
      <c r="A232" s="2"/>
      <c r="B232" s="2"/>
      <c r="C232" s="110">
        <v>0</v>
      </c>
      <c r="D232" s="108" t="s">
        <v>87</v>
      </c>
      <c r="E232" s="155">
        <f>E31*'3. PREÇOS INSUMOS'!G119</f>
        <v>0</v>
      </c>
      <c r="F232" s="155">
        <f>F31*'3. PREÇOS INSUMOS'!H119</f>
        <v>0</v>
      </c>
      <c r="G232" s="155">
        <f>G31*'3. PREÇOS INSUMOS'!I119</f>
        <v>1125009.2999999998</v>
      </c>
      <c r="H232" s="155">
        <f>H31*'3. PREÇOS INSUMOS'!J119</f>
        <v>750006.2</v>
      </c>
      <c r="I232" s="155">
        <f>I31*'3. PREÇOS INSUMOS'!K119</f>
        <v>750006.2</v>
      </c>
      <c r="J232" s="155">
        <f>J31*'3. PREÇOS INSUMOS'!L119</f>
        <v>1125009.2999999998</v>
      </c>
      <c r="K232" s="155">
        <f>K31*'3. PREÇOS INSUMOS'!M119</f>
        <v>0</v>
      </c>
      <c r="L232" s="155">
        <f>L31*'3. PREÇOS INSUMOS'!N119</f>
        <v>0</v>
      </c>
      <c r="M232" s="155">
        <f>M31*'3. PREÇOS INSUMOS'!O119</f>
        <v>0</v>
      </c>
      <c r="N232" s="155">
        <f>N31*'3. PREÇOS INSUMOS'!P119</f>
        <v>375003.1</v>
      </c>
      <c r="O232" s="155">
        <f>O31*'3. PREÇOS INSUMOS'!Q119</f>
        <v>375003.1</v>
      </c>
      <c r="P232" s="155">
        <f>P31*'3. PREÇOS INSUMOS'!R119</f>
        <v>1125009.2999999998</v>
      </c>
      <c r="Q232" s="155">
        <f>Q31*'3. PREÇOS INSUMOS'!S119</f>
        <v>750006.2</v>
      </c>
      <c r="R232" s="155">
        <f>R31*'3. PREÇOS INSUMOS'!T119</f>
        <v>1125009.2999999998</v>
      </c>
      <c r="S232" s="155">
        <f>S31*'3. PREÇOS INSUMOS'!U119</f>
        <v>0</v>
      </c>
      <c r="T232" s="156">
        <f>T31*'3. PREÇOS INSUMOS'!V119</f>
        <v>0</v>
      </c>
      <c r="U232" s="2"/>
    </row>
    <row r="233" spans="1:21" s="4" customFormat="1" outlineLevel="1">
      <c r="A233" s="2"/>
      <c r="B233" s="2"/>
      <c r="C233" s="110">
        <v>1</v>
      </c>
      <c r="D233" s="108" t="s">
        <v>89</v>
      </c>
      <c r="E233" s="155">
        <f>E32*'3. PREÇOS INSUMOS'!G120</f>
        <v>0</v>
      </c>
      <c r="F233" s="155">
        <f>F32*'3. PREÇOS INSUMOS'!H120</f>
        <v>0</v>
      </c>
      <c r="G233" s="155">
        <f>G32*'3. PREÇOS INSUMOS'!I120</f>
        <v>0</v>
      </c>
      <c r="H233" s="155">
        <f>H32*'3. PREÇOS INSUMOS'!J120</f>
        <v>0</v>
      </c>
      <c r="I233" s="155">
        <f>I32*'3. PREÇOS INSUMOS'!K120</f>
        <v>0</v>
      </c>
      <c r="J233" s="155">
        <f>J32*'3. PREÇOS INSUMOS'!L120</f>
        <v>0</v>
      </c>
      <c r="K233" s="155">
        <f>K32*'3. PREÇOS INSUMOS'!M120</f>
        <v>0</v>
      </c>
      <c r="L233" s="155">
        <f>L32*'3. PREÇOS INSUMOS'!N120</f>
        <v>0</v>
      </c>
      <c r="M233" s="155">
        <f>M32*'3. PREÇOS INSUMOS'!O120</f>
        <v>0</v>
      </c>
      <c r="N233" s="155">
        <f>N32*'3. PREÇOS INSUMOS'!P120</f>
        <v>0</v>
      </c>
      <c r="O233" s="155">
        <f>O32*'3. PREÇOS INSUMOS'!Q120</f>
        <v>0</v>
      </c>
      <c r="P233" s="155">
        <f>P32*'3. PREÇOS INSUMOS'!R120</f>
        <v>0</v>
      </c>
      <c r="Q233" s="155">
        <f>Q32*'3. PREÇOS INSUMOS'!S120</f>
        <v>0</v>
      </c>
      <c r="R233" s="155">
        <f>R32*'3. PREÇOS INSUMOS'!T120</f>
        <v>0</v>
      </c>
      <c r="S233" s="155">
        <f>S32*'3. PREÇOS INSUMOS'!U120</f>
        <v>0</v>
      </c>
      <c r="T233" s="156">
        <f>T32*'3. PREÇOS INSUMOS'!V120</f>
        <v>0</v>
      </c>
      <c r="U233" s="2"/>
    </row>
    <row r="234" spans="1:21" s="4" customFormat="1" outlineLevel="1">
      <c r="A234" s="2"/>
      <c r="B234" s="2"/>
      <c r="C234" s="110">
        <v>2</v>
      </c>
      <c r="D234" s="108" t="s">
        <v>90</v>
      </c>
      <c r="E234" s="155">
        <f>E33*'3. PREÇOS INSUMOS'!G121</f>
        <v>0</v>
      </c>
      <c r="F234" s="155">
        <f>F33*'3. PREÇOS INSUMOS'!H121</f>
        <v>0</v>
      </c>
      <c r="G234" s="155">
        <f>G33*'3. PREÇOS INSUMOS'!I121</f>
        <v>0</v>
      </c>
      <c r="H234" s="155">
        <f>H33*'3. PREÇOS INSUMOS'!J121</f>
        <v>0</v>
      </c>
      <c r="I234" s="155">
        <f>I33*'3. PREÇOS INSUMOS'!K121</f>
        <v>0</v>
      </c>
      <c r="J234" s="155">
        <f>J33*'3. PREÇOS INSUMOS'!L121</f>
        <v>0</v>
      </c>
      <c r="K234" s="155">
        <f>K33*'3. PREÇOS INSUMOS'!M121</f>
        <v>0</v>
      </c>
      <c r="L234" s="155">
        <f>L33*'3. PREÇOS INSUMOS'!N121</f>
        <v>0</v>
      </c>
      <c r="M234" s="155">
        <f>M33*'3. PREÇOS INSUMOS'!O121</f>
        <v>0</v>
      </c>
      <c r="N234" s="155">
        <f>N33*'3. PREÇOS INSUMOS'!P121</f>
        <v>0</v>
      </c>
      <c r="O234" s="155">
        <f>O33*'3. PREÇOS INSUMOS'!Q121</f>
        <v>0</v>
      </c>
      <c r="P234" s="155">
        <f>P33*'3. PREÇOS INSUMOS'!R121</f>
        <v>0</v>
      </c>
      <c r="Q234" s="155">
        <f>Q33*'3. PREÇOS INSUMOS'!S121</f>
        <v>0</v>
      </c>
      <c r="R234" s="155">
        <f>R33*'3. PREÇOS INSUMOS'!T121</f>
        <v>0</v>
      </c>
      <c r="S234" s="155">
        <f>S33*'3. PREÇOS INSUMOS'!U121</f>
        <v>0</v>
      </c>
      <c r="T234" s="156">
        <f>T33*'3. PREÇOS INSUMOS'!V121</f>
        <v>0</v>
      </c>
      <c r="U234" s="2"/>
    </row>
    <row r="235" spans="1:21" s="4" customFormat="1" outlineLevel="1">
      <c r="A235" s="2"/>
      <c r="B235" s="2"/>
      <c r="C235" s="110">
        <v>3</v>
      </c>
      <c r="D235" s="108" t="s">
        <v>91</v>
      </c>
      <c r="E235" s="155">
        <f>E34*'3. PREÇOS INSUMOS'!G122</f>
        <v>0</v>
      </c>
      <c r="F235" s="155">
        <f>F34*'3. PREÇOS INSUMOS'!H122</f>
        <v>0</v>
      </c>
      <c r="G235" s="155">
        <f>G34*'3. PREÇOS INSUMOS'!I122</f>
        <v>0</v>
      </c>
      <c r="H235" s="155">
        <f>H34*'3. PREÇOS INSUMOS'!J122</f>
        <v>0</v>
      </c>
      <c r="I235" s="155">
        <f>I34*'3. PREÇOS INSUMOS'!K122</f>
        <v>0</v>
      </c>
      <c r="J235" s="155">
        <f>J34*'3. PREÇOS INSUMOS'!L122</f>
        <v>0</v>
      </c>
      <c r="K235" s="155">
        <f>K34*'3. PREÇOS INSUMOS'!M122</f>
        <v>0</v>
      </c>
      <c r="L235" s="155">
        <f>L34*'3. PREÇOS INSUMOS'!N122</f>
        <v>0</v>
      </c>
      <c r="M235" s="155">
        <f>M34*'3. PREÇOS INSUMOS'!O122</f>
        <v>0</v>
      </c>
      <c r="N235" s="155">
        <f>N34*'3. PREÇOS INSUMOS'!P122</f>
        <v>0</v>
      </c>
      <c r="O235" s="155">
        <f>O34*'3. PREÇOS INSUMOS'!Q122</f>
        <v>0</v>
      </c>
      <c r="P235" s="155">
        <f>P34*'3. PREÇOS INSUMOS'!R122</f>
        <v>0</v>
      </c>
      <c r="Q235" s="155">
        <f>Q34*'3. PREÇOS INSUMOS'!S122</f>
        <v>0</v>
      </c>
      <c r="R235" s="155">
        <f>R34*'3. PREÇOS INSUMOS'!T122</f>
        <v>0</v>
      </c>
      <c r="S235" s="155">
        <f>S34*'3. PREÇOS INSUMOS'!U122</f>
        <v>0</v>
      </c>
      <c r="T235" s="156">
        <f>T34*'3. PREÇOS INSUMOS'!V122</f>
        <v>0</v>
      </c>
      <c r="U235" s="2"/>
    </row>
    <row r="236" spans="1:21" s="4" customFormat="1" outlineLevel="1">
      <c r="A236" s="2"/>
      <c r="B236" s="2"/>
      <c r="C236" s="110">
        <v>4</v>
      </c>
      <c r="D236" s="108" t="s">
        <v>92</v>
      </c>
      <c r="E236" s="155">
        <f>E35*'3. PREÇOS INSUMOS'!G123</f>
        <v>0</v>
      </c>
      <c r="F236" s="155">
        <f>F35*'3. PREÇOS INSUMOS'!H123</f>
        <v>0</v>
      </c>
      <c r="G236" s="155">
        <f>G35*'3. PREÇOS INSUMOS'!I123</f>
        <v>0</v>
      </c>
      <c r="H236" s="155">
        <f>H35*'3. PREÇOS INSUMOS'!J123</f>
        <v>0</v>
      </c>
      <c r="I236" s="155">
        <f>I35*'3. PREÇOS INSUMOS'!K123</f>
        <v>0</v>
      </c>
      <c r="J236" s="155">
        <f>J35*'3. PREÇOS INSUMOS'!L123</f>
        <v>0</v>
      </c>
      <c r="K236" s="155">
        <f>K35*'3. PREÇOS INSUMOS'!M123</f>
        <v>0</v>
      </c>
      <c r="L236" s="155">
        <f>L35*'3. PREÇOS INSUMOS'!N123</f>
        <v>0</v>
      </c>
      <c r="M236" s="155">
        <f>M35*'3. PREÇOS INSUMOS'!O123</f>
        <v>0</v>
      </c>
      <c r="N236" s="155">
        <f>N35*'3. PREÇOS INSUMOS'!P123</f>
        <v>0</v>
      </c>
      <c r="O236" s="155">
        <f>O35*'3. PREÇOS INSUMOS'!Q123</f>
        <v>0</v>
      </c>
      <c r="P236" s="155">
        <f>P35*'3. PREÇOS INSUMOS'!R123</f>
        <v>0</v>
      </c>
      <c r="Q236" s="155">
        <f>Q35*'3. PREÇOS INSUMOS'!S123</f>
        <v>0</v>
      </c>
      <c r="R236" s="155">
        <f>R35*'3. PREÇOS INSUMOS'!T123</f>
        <v>0</v>
      </c>
      <c r="S236" s="155">
        <f>S35*'3. PREÇOS INSUMOS'!U123</f>
        <v>0</v>
      </c>
      <c r="T236" s="156">
        <f>T35*'3. PREÇOS INSUMOS'!V123</f>
        <v>0</v>
      </c>
      <c r="U236" s="2"/>
    </row>
    <row r="237" spans="1:21" s="4" customFormat="1" outlineLevel="1">
      <c r="A237" s="2"/>
      <c r="B237" s="2"/>
      <c r="C237" s="110">
        <v>5</v>
      </c>
      <c r="D237" s="108" t="s">
        <v>93</v>
      </c>
      <c r="E237" s="155">
        <f>E36*'3. PREÇOS INSUMOS'!G124</f>
        <v>937507.75</v>
      </c>
      <c r="F237" s="155">
        <f>F36*'3. PREÇOS INSUMOS'!H124</f>
        <v>0</v>
      </c>
      <c r="G237" s="155">
        <f>G36*'3. PREÇOS INSUMOS'!I124</f>
        <v>0</v>
      </c>
      <c r="H237" s="155">
        <f>H36*'3. PREÇOS INSUMOS'!J124</f>
        <v>0</v>
      </c>
      <c r="I237" s="155">
        <f>I36*'3. PREÇOS INSUMOS'!K124</f>
        <v>0</v>
      </c>
      <c r="J237" s="155">
        <f>J36*'3. PREÇOS INSUMOS'!L124</f>
        <v>0</v>
      </c>
      <c r="K237" s="155">
        <f>K36*'3. PREÇOS INSUMOS'!M124</f>
        <v>0</v>
      </c>
      <c r="L237" s="155">
        <f>L36*'3. PREÇOS INSUMOS'!N124</f>
        <v>0</v>
      </c>
      <c r="M237" s="155">
        <f>M36*'3. PREÇOS INSUMOS'!O124</f>
        <v>0</v>
      </c>
      <c r="N237" s="155">
        <f>N36*'3. PREÇOS INSUMOS'!P124</f>
        <v>0</v>
      </c>
      <c r="O237" s="155">
        <f>O36*'3. PREÇOS INSUMOS'!Q124</f>
        <v>0</v>
      </c>
      <c r="P237" s="155">
        <f>P36*'3. PREÇOS INSUMOS'!R124</f>
        <v>0</v>
      </c>
      <c r="Q237" s="155">
        <f>Q36*'3. PREÇOS INSUMOS'!S124</f>
        <v>0</v>
      </c>
      <c r="R237" s="155">
        <f>R36*'3. PREÇOS INSUMOS'!T124</f>
        <v>0</v>
      </c>
      <c r="S237" s="155">
        <f>S36*'3. PREÇOS INSUMOS'!U124</f>
        <v>0</v>
      </c>
      <c r="T237" s="156">
        <f>T36*'3. PREÇOS INSUMOS'!V124</f>
        <v>0</v>
      </c>
      <c r="U237" s="2"/>
    </row>
    <row r="238" spans="1:21" s="4" customFormat="1" outlineLevel="1">
      <c r="A238" s="2"/>
      <c r="B238" s="2"/>
      <c r="C238" s="110">
        <v>6</v>
      </c>
      <c r="D238" s="108" t="s">
        <v>94</v>
      </c>
      <c r="E238" s="155">
        <f>E37*'3. PREÇOS INSUMOS'!G125</f>
        <v>0</v>
      </c>
      <c r="F238" s="155">
        <f>F37*'3. PREÇOS INSUMOS'!H125</f>
        <v>0</v>
      </c>
      <c r="G238" s="155">
        <f>G37*'3. PREÇOS INSUMOS'!I125</f>
        <v>0</v>
      </c>
      <c r="H238" s="155">
        <f>H37*'3. PREÇOS INSUMOS'!J125</f>
        <v>0</v>
      </c>
      <c r="I238" s="155">
        <f>I37*'3. PREÇOS INSUMOS'!K125</f>
        <v>0</v>
      </c>
      <c r="J238" s="155">
        <f>J37*'3. PREÇOS INSUMOS'!L125</f>
        <v>0</v>
      </c>
      <c r="K238" s="155">
        <f>K37*'3. PREÇOS INSUMOS'!M125</f>
        <v>0</v>
      </c>
      <c r="L238" s="155">
        <f>L37*'3. PREÇOS INSUMOS'!N125</f>
        <v>0</v>
      </c>
      <c r="M238" s="155">
        <f>M37*'3. PREÇOS INSUMOS'!O125</f>
        <v>0</v>
      </c>
      <c r="N238" s="155">
        <f>N37*'3. PREÇOS INSUMOS'!P125</f>
        <v>0</v>
      </c>
      <c r="O238" s="155">
        <f>O37*'3. PREÇOS INSUMOS'!Q125</f>
        <v>0</v>
      </c>
      <c r="P238" s="155">
        <f>P37*'3. PREÇOS INSUMOS'!R125</f>
        <v>0</v>
      </c>
      <c r="Q238" s="155">
        <f>Q37*'3. PREÇOS INSUMOS'!S125</f>
        <v>0</v>
      </c>
      <c r="R238" s="155">
        <f>R37*'3. PREÇOS INSUMOS'!T125</f>
        <v>0</v>
      </c>
      <c r="S238" s="155">
        <f>S37*'3. PREÇOS INSUMOS'!U125</f>
        <v>0</v>
      </c>
      <c r="T238" s="156">
        <f>T37*'3. PREÇOS INSUMOS'!V125</f>
        <v>0</v>
      </c>
      <c r="U238" s="2"/>
    </row>
    <row r="239" spans="1:21" s="4" customFormat="1" outlineLevel="1">
      <c r="A239" s="2"/>
      <c r="B239" s="2"/>
      <c r="C239" s="110">
        <v>7</v>
      </c>
      <c r="D239" s="108" t="s">
        <v>95</v>
      </c>
      <c r="E239" s="155">
        <f>E38*'3. PREÇOS INSUMOS'!G126</f>
        <v>0</v>
      </c>
      <c r="F239" s="155">
        <f>F38*'3. PREÇOS INSUMOS'!H126</f>
        <v>0</v>
      </c>
      <c r="G239" s="155">
        <f>G38*'3. PREÇOS INSUMOS'!I126</f>
        <v>0</v>
      </c>
      <c r="H239" s="155">
        <f>H38*'3. PREÇOS INSUMOS'!J126</f>
        <v>0</v>
      </c>
      <c r="I239" s="155">
        <f>I38*'3. PREÇOS INSUMOS'!K126</f>
        <v>0</v>
      </c>
      <c r="J239" s="155">
        <f>J38*'3. PREÇOS INSUMOS'!L126</f>
        <v>0</v>
      </c>
      <c r="K239" s="155">
        <f>K38*'3. PREÇOS INSUMOS'!M126</f>
        <v>0</v>
      </c>
      <c r="L239" s="155">
        <f>L38*'3. PREÇOS INSUMOS'!N126</f>
        <v>0</v>
      </c>
      <c r="M239" s="155">
        <f>M38*'3. PREÇOS INSUMOS'!O126</f>
        <v>0</v>
      </c>
      <c r="N239" s="155">
        <f>N38*'3. PREÇOS INSUMOS'!P126</f>
        <v>0</v>
      </c>
      <c r="O239" s="155">
        <f>O38*'3. PREÇOS INSUMOS'!Q126</f>
        <v>0</v>
      </c>
      <c r="P239" s="155">
        <f>P38*'3. PREÇOS INSUMOS'!R126</f>
        <v>0</v>
      </c>
      <c r="Q239" s="155">
        <f>Q38*'3. PREÇOS INSUMOS'!S126</f>
        <v>0</v>
      </c>
      <c r="R239" s="155">
        <f>R38*'3. PREÇOS INSUMOS'!T126</f>
        <v>0</v>
      </c>
      <c r="S239" s="155">
        <f>S38*'3. PREÇOS INSUMOS'!U126</f>
        <v>0</v>
      </c>
      <c r="T239" s="156">
        <f>T38*'3. PREÇOS INSUMOS'!V126</f>
        <v>0</v>
      </c>
      <c r="U239" s="2"/>
    </row>
    <row r="240" spans="1:21" s="4" customFormat="1" outlineLevel="1">
      <c r="A240" s="2"/>
      <c r="B240" s="2"/>
      <c r="C240" s="110">
        <v>8</v>
      </c>
      <c r="D240" s="108" t="s">
        <v>96</v>
      </c>
      <c r="E240" s="155">
        <f>E39*'3. PREÇOS INSUMOS'!G127</f>
        <v>0</v>
      </c>
      <c r="F240" s="155">
        <f>F39*'3. PREÇOS INSUMOS'!H127</f>
        <v>0</v>
      </c>
      <c r="G240" s="155">
        <f>G39*'3. PREÇOS INSUMOS'!I127</f>
        <v>0</v>
      </c>
      <c r="H240" s="155">
        <f>H39*'3. PREÇOS INSUMOS'!J127</f>
        <v>0</v>
      </c>
      <c r="I240" s="155">
        <f>I39*'3. PREÇOS INSUMOS'!K127</f>
        <v>0</v>
      </c>
      <c r="J240" s="155">
        <f>J39*'3. PREÇOS INSUMOS'!L127</f>
        <v>0</v>
      </c>
      <c r="K240" s="155">
        <f>K39*'3. PREÇOS INSUMOS'!M127</f>
        <v>0</v>
      </c>
      <c r="L240" s="155">
        <f>L39*'3. PREÇOS INSUMOS'!N127</f>
        <v>0</v>
      </c>
      <c r="M240" s="155">
        <f>M39*'3. PREÇOS INSUMOS'!O127</f>
        <v>0</v>
      </c>
      <c r="N240" s="155">
        <f>N39*'3. PREÇOS INSUMOS'!P127</f>
        <v>0</v>
      </c>
      <c r="O240" s="155">
        <f>O39*'3. PREÇOS INSUMOS'!Q127</f>
        <v>0</v>
      </c>
      <c r="P240" s="155">
        <f>P39*'3. PREÇOS INSUMOS'!R127</f>
        <v>0</v>
      </c>
      <c r="Q240" s="155">
        <f>Q39*'3. PREÇOS INSUMOS'!S127</f>
        <v>0</v>
      </c>
      <c r="R240" s="155">
        <f>R39*'3. PREÇOS INSUMOS'!T127</f>
        <v>0</v>
      </c>
      <c r="S240" s="155">
        <f>S39*'3. PREÇOS INSUMOS'!U127</f>
        <v>0</v>
      </c>
      <c r="T240" s="156">
        <f>T39*'3. PREÇOS INSUMOS'!V127</f>
        <v>0</v>
      </c>
      <c r="U240" s="2"/>
    </row>
    <row r="241" spans="1:21" s="4" customFormat="1" outlineLevel="1">
      <c r="A241" s="2"/>
      <c r="B241" s="2"/>
      <c r="C241" s="110">
        <v>9</v>
      </c>
      <c r="D241" s="108" t="s">
        <v>97</v>
      </c>
      <c r="E241" s="155">
        <f>E40*'3. PREÇOS INSUMOS'!G128</f>
        <v>0</v>
      </c>
      <c r="F241" s="155">
        <f>F40*'3. PREÇOS INSUMOS'!H128</f>
        <v>0</v>
      </c>
      <c r="G241" s="155">
        <f>G40*'3. PREÇOS INSUMOS'!I128</f>
        <v>0</v>
      </c>
      <c r="H241" s="155">
        <f>H40*'3. PREÇOS INSUMOS'!J128</f>
        <v>0</v>
      </c>
      <c r="I241" s="155">
        <f>I40*'3. PREÇOS INSUMOS'!K128</f>
        <v>0</v>
      </c>
      <c r="J241" s="155">
        <f>J40*'3. PREÇOS INSUMOS'!L128</f>
        <v>0</v>
      </c>
      <c r="K241" s="155">
        <f>K40*'3. PREÇOS INSUMOS'!M128</f>
        <v>0</v>
      </c>
      <c r="L241" s="155">
        <f>L40*'3. PREÇOS INSUMOS'!N128</f>
        <v>0</v>
      </c>
      <c r="M241" s="155">
        <f>M40*'3. PREÇOS INSUMOS'!O128</f>
        <v>0</v>
      </c>
      <c r="N241" s="155">
        <f>N40*'3. PREÇOS INSUMOS'!P128</f>
        <v>0</v>
      </c>
      <c r="O241" s="155">
        <f>O40*'3. PREÇOS INSUMOS'!Q128</f>
        <v>0</v>
      </c>
      <c r="P241" s="155">
        <f>P40*'3. PREÇOS INSUMOS'!R128</f>
        <v>0</v>
      </c>
      <c r="Q241" s="155">
        <f>Q40*'3. PREÇOS INSUMOS'!S128</f>
        <v>0</v>
      </c>
      <c r="R241" s="155">
        <f>R40*'3. PREÇOS INSUMOS'!T128</f>
        <v>0</v>
      </c>
      <c r="S241" s="155">
        <f>S40*'3. PREÇOS INSUMOS'!U128</f>
        <v>0</v>
      </c>
      <c r="T241" s="156">
        <f>T40*'3. PREÇOS INSUMOS'!V128</f>
        <v>0</v>
      </c>
      <c r="U241" s="2"/>
    </row>
    <row r="242" spans="1:21" s="4" customFormat="1" outlineLevel="1">
      <c r="A242" s="2"/>
      <c r="B242" s="2"/>
      <c r="C242" s="110">
        <v>10</v>
      </c>
      <c r="D242" s="109" t="s">
        <v>98</v>
      </c>
      <c r="E242" s="155">
        <f>E41*'3. PREÇOS INSUMOS'!G129</f>
        <v>0</v>
      </c>
      <c r="F242" s="155">
        <f>F41*'3. PREÇOS INSUMOS'!H129</f>
        <v>0</v>
      </c>
      <c r="G242" s="155">
        <f>G41*'3. PREÇOS INSUMOS'!I129</f>
        <v>0</v>
      </c>
      <c r="H242" s="155">
        <f>H41*'3. PREÇOS INSUMOS'!J129</f>
        <v>0</v>
      </c>
      <c r="I242" s="155">
        <f>I41*'3. PREÇOS INSUMOS'!K129</f>
        <v>0</v>
      </c>
      <c r="J242" s="155">
        <f>J41*'3. PREÇOS INSUMOS'!L129</f>
        <v>0</v>
      </c>
      <c r="K242" s="155">
        <f>K41*'3. PREÇOS INSUMOS'!M129</f>
        <v>0</v>
      </c>
      <c r="L242" s="155">
        <f>L41*'3. PREÇOS INSUMOS'!N129</f>
        <v>0</v>
      </c>
      <c r="M242" s="155">
        <f>M41*'3. PREÇOS INSUMOS'!O129</f>
        <v>0</v>
      </c>
      <c r="N242" s="155">
        <f>N41*'3. PREÇOS INSUMOS'!P129</f>
        <v>0</v>
      </c>
      <c r="O242" s="155">
        <f>O41*'3. PREÇOS INSUMOS'!Q129</f>
        <v>0</v>
      </c>
      <c r="P242" s="155">
        <f>P41*'3. PREÇOS INSUMOS'!R129</f>
        <v>0</v>
      </c>
      <c r="Q242" s="155">
        <f>Q41*'3. PREÇOS INSUMOS'!S129</f>
        <v>0</v>
      </c>
      <c r="R242" s="155">
        <f>R41*'3. PREÇOS INSUMOS'!T129</f>
        <v>0</v>
      </c>
      <c r="S242" s="155">
        <f>S41*'3. PREÇOS INSUMOS'!U129</f>
        <v>0</v>
      </c>
      <c r="T242" s="156">
        <f>T41*'3. PREÇOS INSUMOS'!V129</f>
        <v>0</v>
      </c>
      <c r="U242" s="2"/>
    </row>
    <row r="243" spans="1:21" s="4" customFormat="1" outlineLevel="1">
      <c r="A243" s="2"/>
      <c r="B243" s="2"/>
      <c r="C243" s="111" t="s">
        <v>88</v>
      </c>
      <c r="D243" s="112"/>
      <c r="E243" s="157">
        <f>SUM(E232:E242)</f>
        <v>937507.75</v>
      </c>
      <c r="F243" s="157">
        <f t="shared" ref="F243:T243" si="138">SUM(F232:F242)</f>
        <v>0</v>
      </c>
      <c r="G243" s="157">
        <f t="shared" si="138"/>
        <v>1125009.2999999998</v>
      </c>
      <c r="H243" s="157">
        <f t="shared" si="138"/>
        <v>750006.2</v>
      </c>
      <c r="I243" s="157">
        <f t="shared" si="138"/>
        <v>750006.2</v>
      </c>
      <c r="J243" s="157">
        <f t="shared" si="138"/>
        <v>1125009.2999999998</v>
      </c>
      <c r="K243" s="157">
        <f t="shared" si="138"/>
        <v>0</v>
      </c>
      <c r="L243" s="157">
        <f t="shared" si="138"/>
        <v>0</v>
      </c>
      <c r="M243" s="157">
        <f t="shared" si="138"/>
        <v>0</v>
      </c>
      <c r="N243" s="157">
        <f t="shared" si="138"/>
        <v>375003.1</v>
      </c>
      <c r="O243" s="157">
        <f t="shared" si="138"/>
        <v>375003.1</v>
      </c>
      <c r="P243" s="157">
        <f t="shared" si="138"/>
        <v>1125009.2999999998</v>
      </c>
      <c r="Q243" s="157">
        <f t="shared" si="138"/>
        <v>750006.2</v>
      </c>
      <c r="R243" s="157">
        <f t="shared" si="138"/>
        <v>1125009.2999999998</v>
      </c>
      <c r="S243" s="157">
        <f t="shared" si="138"/>
        <v>0</v>
      </c>
      <c r="T243" s="158">
        <f t="shared" si="138"/>
        <v>0</v>
      </c>
      <c r="U243" s="2"/>
    </row>
    <row r="244" spans="1:21" s="4" customFormat="1">
      <c r="A244" s="2"/>
      <c r="B244" s="2"/>
      <c r="C244" s="2"/>
      <c r="D244" s="2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2"/>
    </row>
    <row r="245" spans="1:21" s="4" customFormat="1" ht="15.75">
      <c r="A245" s="2">
        <v>3</v>
      </c>
      <c r="B245" s="2"/>
      <c r="C245" s="476" t="str">
        <f>"7.2.1.3 - "&amp;VLOOKUP(A245,TIPOLOGIA!$D$10:$E$12,2,0)&amp;" para cálculo dos investimentos em frota"</f>
        <v>7.2.1.3 - - para cálculo dos investimentos em frota</v>
      </c>
      <c r="D245" s="476"/>
      <c r="E245" s="476"/>
      <c r="F245" s="476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2"/>
    </row>
    <row r="246" spans="1:21" ht="18" customHeight="1">
      <c r="C246" s="705" t="s">
        <v>86</v>
      </c>
      <c r="D246" s="719"/>
      <c r="E246" s="105" t="s">
        <v>99</v>
      </c>
      <c r="F246" s="106">
        <v>1</v>
      </c>
      <c r="G246" s="106">
        <f t="shared" ref="G246:T246" si="139">+F246+1</f>
        <v>2</v>
      </c>
      <c r="H246" s="106">
        <f t="shared" si="139"/>
        <v>3</v>
      </c>
      <c r="I246" s="106">
        <f t="shared" si="139"/>
        <v>4</v>
      </c>
      <c r="J246" s="106">
        <f t="shared" si="139"/>
        <v>5</v>
      </c>
      <c r="K246" s="106">
        <f t="shared" si="139"/>
        <v>6</v>
      </c>
      <c r="L246" s="106">
        <f t="shared" si="139"/>
        <v>7</v>
      </c>
      <c r="M246" s="106">
        <f t="shared" si="139"/>
        <v>8</v>
      </c>
      <c r="N246" s="106">
        <f t="shared" si="139"/>
        <v>9</v>
      </c>
      <c r="O246" s="106">
        <f t="shared" si="139"/>
        <v>10</v>
      </c>
      <c r="P246" s="106">
        <f t="shared" si="139"/>
        <v>11</v>
      </c>
      <c r="Q246" s="106">
        <f t="shared" si="139"/>
        <v>12</v>
      </c>
      <c r="R246" s="106">
        <f t="shared" si="139"/>
        <v>13</v>
      </c>
      <c r="S246" s="106">
        <f t="shared" si="139"/>
        <v>14</v>
      </c>
      <c r="T246" s="107">
        <f t="shared" si="139"/>
        <v>15</v>
      </c>
    </row>
    <row r="247" spans="1:21">
      <c r="C247" s="110">
        <v>0</v>
      </c>
      <c r="D247" s="108" t="s">
        <v>87</v>
      </c>
      <c r="E247" s="155">
        <f>E47*'3. PREÇOS INSUMOS'!G81</f>
        <v>0</v>
      </c>
      <c r="F247" s="155">
        <f>F47*'3. PREÇOS INSUMOS'!H81</f>
        <v>0</v>
      </c>
      <c r="G247" s="155">
        <f>G47*'3. PREÇOS INSUMOS'!I81</f>
        <v>0</v>
      </c>
      <c r="H247" s="155">
        <f>H47*'3. PREÇOS INSUMOS'!J81</f>
        <v>0</v>
      </c>
      <c r="I247" s="155">
        <f>I47*'3. PREÇOS INSUMOS'!K81</f>
        <v>0</v>
      </c>
      <c r="J247" s="155">
        <f>J47*'3. PREÇOS INSUMOS'!L81</f>
        <v>0</v>
      </c>
      <c r="K247" s="155">
        <f>K47*'3. PREÇOS INSUMOS'!M81</f>
        <v>0</v>
      </c>
      <c r="L247" s="155">
        <f>L47*'3. PREÇOS INSUMOS'!N81</f>
        <v>0</v>
      </c>
      <c r="M247" s="155">
        <f>M47*'3. PREÇOS INSUMOS'!O81</f>
        <v>0</v>
      </c>
      <c r="N247" s="155">
        <f>N47*'3. PREÇOS INSUMOS'!P81</f>
        <v>0</v>
      </c>
      <c r="O247" s="155">
        <f>O47*'3. PREÇOS INSUMOS'!Q81</f>
        <v>0</v>
      </c>
      <c r="P247" s="155">
        <f>P47*'3. PREÇOS INSUMOS'!R81</f>
        <v>0</v>
      </c>
      <c r="Q247" s="155">
        <f>Q47*'3. PREÇOS INSUMOS'!S81</f>
        <v>0</v>
      </c>
      <c r="R247" s="155">
        <f>R47*'3. PREÇOS INSUMOS'!T81</f>
        <v>0</v>
      </c>
      <c r="S247" s="155">
        <f>S47*'3. PREÇOS INSUMOS'!U81</f>
        <v>0</v>
      </c>
      <c r="T247" s="156">
        <f>T47*'3. PREÇOS INSUMOS'!V81</f>
        <v>0</v>
      </c>
    </row>
    <row r="248" spans="1:21" ht="18" customHeight="1">
      <c r="C248" s="110">
        <v>1</v>
      </c>
      <c r="D248" s="108" t="s">
        <v>89</v>
      </c>
      <c r="E248" s="155">
        <f>E48*'3. PREÇOS INSUMOS'!G82</f>
        <v>0</v>
      </c>
      <c r="F248" s="155">
        <f>F48*'3. PREÇOS INSUMOS'!H82</f>
        <v>0</v>
      </c>
      <c r="G248" s="155">
        <f>G48*'3. PREÇOS INSUMOS'!I82</f>
        <v>0</v>
      </c>
      <c r="H248" s="155">
        <f>H48*'3. PREÇOS INSUMOS'!J82</f>
        <v>0</v>
      </c>
      <c r="I248" s="155">
        <f>I48*'3. PREÇOS INSUMOS'!K82</f>
        <v>0</v>
      </c>
      <c r="J248" s="155">
        <f>J48*'3. PREÇOS INSUMOS'!L82</f>
        <v>0</v>
      </c>
      <c r="K248" s="155">
        <f>K48*'3. PREÇOS INSUMOS'!M82</f>
        <v>0</v>
      </c>
      <c r="L248" s="155">
        <f>L48*'3. PREÇOS INSUMOS'!N82</f>
        <v>0</v>
      </c>
      <c r="M248" s="155">
        <f>M48*'3. PREÇOS INSUMOS'!O82</f>
        <v>0</v>
      </c>
      <c r="N248" s="155">
        <f>N48*'3. PREÇOS INSUMOS'!P82</f>
        <v>0</v>
      </c>
      <c r="O248" s="155">
        <f>O48*'3. PREÇOS INSUMOS'!Q82</f>
        <v>0</v>
      </c>
      <c r="P248" s="155">
        <f>P48*'3. PREÇOS INSUMOS'!R82</f>
        <v>0</v>
      </c>
      <c r="Q248" s="155">
        <f>Q48*'3. PREÇOS INSUMOS'!S82</f>
        <v>0</v>
      </c>
      <c r="R248" s="155">
        <f>R48*'3. PREÇOS INSUMOS'!T82</f>
        <v>0</v>
      </c>
      <c r="S248" s="155">
        <f>S48*'3. PREÇOS INSUMOS'!U82</f>
        <v>0</v>
      </c>
      <c r="T248" s="156">
        <f>T48*'3. PREÇOS INSUMOS'!V82</f>
        <v>0</v>
      </c>
    </row>
    <row r="249" spans="1:21">
      <c r="C249" s="110">
        <v>2</v>
      </c>
      <c r="D249" s="108" t="s">
        <v>90</v>
      </c>
      <c r="E249" s="155">
        <f>E49*'3. PREÇOS INSUMOS'!G83</f>
        <v>0</v>
      </c>
      <c r="F249" s="155">
        <f>F49*'3. PREÇOS INSUMOS'!H83</f>
        <v>0</v>
      </c>
      <c r="G249" s="155">
        <f>G49*'3. PREÇOS INSUMOS'!I83</f>
        <v>0</v>
      </c>
      <c r="H249" s="155">
        <f>H49*'3. PREÇOS INSUMOS'!J83</f>
        <v>0</v>
      </c>
      <c r="I249" s="155">
        <f>I49*'3. PREÇOS INSUMOS'!K83</f>
        <v>0</v>
      </c>
      <c r="J249" s="155">
        <f>J49*'3. PREÇOS INSUMOS'!L83</f>
        <v>0</v>
      </c>
      <c r="K249" s="155">
        <f>K49*'3. PREÇOS INSUMOS'!M83</f>
        <v>0</v>
      </c>
      <c r="L249" s="155">
        <f>L49*'3. PREÇOS INSUMOS'!N83</f>
        <v>0</v>
      </c>
      <c r="M249" s="155">
        <f>M49*'3. PREÇOS INSUMOS'!O83</f>
        <v>0</v>
      </c>
      <c r="N249" s="155">
        <f>N49*'3. PREÇOS INSUMOS'!P83</f>
        <v>0</v>
      </c>
      <c r="O249" s="155">
        <f>O49*'3. PREÇOS INSUMOS'!Q83</f>
        <v>0</v>
      </c>
      <c r="P249" s="155">
        <f>P49*'3. PREÇOS INSUMOS'!R83</f>
        <v>0</v>
      </c>
      <c r="Q249" s="155">
        <f>Q49*'3. PREÇOS INSUMOS'!S83</f>
        <v>0</v>
      </c>
      <c r="R249" s="155">
        <f>R49*'3. PREÇOS INSUMOS'!T83</f>
        <v>0</v>
      </c>
      <c r="S249" s="155">
        <f>S49*'3. PREÇOS INSUMOS'!U83</f>
        <v>0</v>
      </c>
      <c r="T249" s="156">
        <f>T49*'3. PREÇOS INSUMOS'!V83</f>
        <v>0</v>
      </c>
    </row>
    <row r="250" spans="1:21">
      <c r="C250" s="110">
        <v>3</v>
      </c>
      <c r="D250" s="108" t="s">
        <v>91</v>
      </c>
      <c r="E250" s="155">
        <f>E50*'3. PREÇOS INSUMOS'!G84</f>
        <v>0</v>
      </c>
      <c r="F250" s="155">
        <f>F50*'3. PREÇOS INSUMOS'!H84</f>
        <v>0</v>
      </c>
      <c r="G250" s="155">
        <f>G50*'3. PREÇOS INSUMOS'!I84</f>
        <v>0</v>
      </c>
      <c r="H250" s="155">
        <f>H50*'3. PREÇOS INSUMOS'!J84</f>
        <v>0</v>
      </c>
      <c r="I250" s="155">
        <f>I50*'3. PREÇOS INSUMOS'!K84</f>
        <v>0</v>
      </c>
      <c r="J250" s="155">
        <f>J50*'3. PREÇOS INSUMOS'!L84</f>
        <v>0</v>
      </c>
      <c r="K250" s="155">
        <f>K50*'3. PREÇOS INSUMOS'!M84</f>
        <v>0</v>
      </c>
      <c r="L250" s="155">
        <f>L50*'3. PREÇOS INSUMOS'!N84</f>
        <v>0</v>
      </c>
      <c r="M250" s="155">
        <f>M50*'3. PREÇOS INSUMOS'!O84</f>
        <v>0</v>
      </c>
      <c r="N250" s="155">
        <f>N50*'3. PREÇOS INSUMOS'!P84</f>
        <v>0</v>
      </c>
      <c r="O250" s="155">
        <f>O50*'3. PREÇOS INSUMOS'!Q84</f>
        <v>0</v>
      </c>
      <c r="P250" s="155">
        <f>P50*'3. PREÇOS INSUMOS'!R84</f>
        <v>0</v>
      </c>
      <c r="Q250" s="155">
        <f>Q50*'3. PREÇOS INSUMOS'!S84</f>
        <v>0</v>
      </c>
      <c r="R250" s="155">
        <f>R50*'3. PREÇOS INSUMOS'!T84</f>
        <v>0</v>
      </c>
      <c r="S250" s="155">
        <f>S50*'3. PREÇOS INSUMOS'!U84</f>
        <v>0</v>
      </c>
      <c r="T250" s="156">
        <f>T50*'3. PREÇOS INSUMOS'!V84</f>
        <v>0</v>
      </c>
    </row>
    <row r="251" spans="1:21">
      <c r="C251" s="110">
        <v>4</v>
      </c>
      <c r="D251" s="108" t="s">
        <v>92</v>
      </c>
      <c r="E251" s="155">
        <f>E51*'3. PREÇOS INSUMOS'!G85</f>
        <v>0</v>
      </c>
      <c r="F251" s="155">
        <f>F51*'3. PREÇOS INSUMOS'!H85</f>
        <v>0</v>
      </c>
      <c r="G251" s="155">
        <f>G51*'3. PREÇOS INSUMOS'!I85</f>
        <v>0</v>
      </c>
      <c r="H251" s="155">
        <f>H51*'3. PREÇOS INSUMOS'!J85</f>
        <v>0</v>
      </c>
      <c r="I251" s="155">
        <f>I51*'3. PREÇOS INSUMOS'!K85</f>
        <v>0</v>
      </c>
      <c r="J251" s="155">
        <f>J51*'3. PREÇOS INSUMOS'!L85</f>
        <v>0</v>
      </c>
      <c r="K251" s="155">
        <f>K51*'3. PREÇOS INSUMOS'!M85</f>
        <v>0</v>
      </c>
      <c r="L251" s="155">
        <f>L51*'3. PREÇOS INSUMOS'!N85</f>
        <v>0</v>
      </c>
      <c r="M251" s="155">
        <f>M51*'3. PREÇOS INSUMOS'!O85</f>
        <v>0</v>
      </c>
      <c r="N251" s="155">
        <f>N51*'3. PREÇOS INSUMOS'!P85</f>
        <v>0</v>
      </c>
      <c r="O251" s="155">
        <f>O51*'3. PREÇOS INSUMOS'!Q85</f>
        <v>0</v>
      </c>
      <c r="P251" s="155">
        <f>P51*'3. PREÇOS INSUMOS'!R85</f>
        <v>0</v>
      </c>
      <c r="Q251" s="155">
        <f>Q51*'3. PREÇOS INSUMOS'!S85</f>
        <v>0</v>
      </c>
      <c r="R251" s="155">
        <f>R51*'3. PREÇOS INSUMOS'!T85</f>
        <v>0</v>
      </c>
      <c r="S251" s="155">
        <f>S51*'3. PREÇOS INSUMOS'!U85</f>
        <v>0</v>
      </c>
      <c r="T251" s="156">
        <f>T51*'3. PREÇOS INSUMOS'!V85</f>
        <v>0</v>
      </c>
    </row>
    <row r="252" spans="1:21">
      <c r="C252" s="110">
        <v>5</v>
      </c>
      <c r="D252" s="108" t="s">
        <v>93</v>
      </c>
      <c r="E252" s="155">
        <f>E52*'3. PREÇOS INSUMOS'!G86</f>
        <v>0</v>
      </c>
      <c r="F252" s="155">
        <f>F52*'3. PREÇOS INSUMOS'!H86</f>
        <v>0</v>
      </c>
      <c r="G252" s="155">
        <f>G52*'3. PREÇOS INSUMOS'!I86</f>
        <v>0</v>
      </c>
      <c r="H252" s="155">
        <f>H52*'3. PREÇOS INSUMOS'!J86</f>
        <v>0</v>
      </c>
      <c r="I252" s="155">
        <f>I52*'3. PREÇOS INSUMOS'!K86</f>
        <v>0</v>
      </c>
      <c r="J252" s="155">
        <f>J52*'3. PREÇOS INSUMOS'!L86</f>
        <v>0</v>
      </c>
      <c r="K252" s="155">
        <f>K52*'3. PREÇOS INSUMOS'!M86</f>
        <v>0</v>
      </c>
      <c r="L252" s="155">
        <f>L52*'3. PREÇOS INSUMOS'!N86</f>
        <v>0</v>
      </c>
      <c r="M252" s="155">
        <f>M52*'3. PREÇOS INSUMOS'!O86</f>
        <v>0</v>
      </c>
      <c r="N252" s="155">
        <f>N52*'3. PREÇOS INSUMOS'!P86</f>
        <v>0</v>
      </c>
      <c r="O252" s="155">
        <f>O52*'3. PREÇOS INSUMOS'!Q86</f>
        <v>0</v>
      </c>
      <c r="P252" s="155">
        <f>P52*'3. PREÇOS INSUMOS'!R86</f>
        <v>0</v>
      </c>
      <c r="Q252" s="155">
        <f>Q52*'3. PREÇOS INSUMOS'!S86</f>
        <v>0</v>
      </c>
      <c r="R252" s="155">
        <f>R52*'3. PREÇOS INSUMOS'!T86</f>
        <v>0</v>
      </c>
      <c r="S252" s="155">
        <f>S52*'3. PREÇOS INSUMOS'!U86</f>
        <v>0</v>
      </c>
      <c r="T252" s="156">
        <f>T52*'3. PREÇOS INSUMOS'!V86</f>
        <v>0</v>
      </c>
    </row>
    <row r="253" spans="1:21">
      <c r="C253" s="110">
        <v>6</v>
      </c>
      <c r="D253" s="108" t="s">
        <v>94</v>
      </c>
      <c r="E253" s="155">
        <f>E53*'3. PREÇOS INSUMOS'!G87</f>
        <v>0</v>
      </c>
      <c r="F253" s="155">
        <f>F53*'3. PREÇOS INSUMOS'!H87</f>
        <v>0</v>
      </c>
      <c r="G253" s="155">
        <f>G53*'3. PREÇOS INSUMOS'!I87</f>
        <v>0</v>
      </c>
      <c r="H253" s="155">
        <f>H53*'3. PREÇOS INSUMOS'!J87</f>
        <v>0</v>
      </c>
      <c r="I253" s="155">
        <f>I53*'3. PREÇOS INSUMOS'!K87</f>
        <v>0</v>
      </c>
      <c r="J253" s="155">
        <f>J53*'3. PREÇOS INSUMOS'!L87</f>
        <v>0</v>
      </c>
      <c r="K253" s="155">
        <f>K53*'3. PREÇOS INSUMOS'!M87</f>
        <v>0</v>
      </c>
      <c r="L253" s="155">
        <f>L53*'3. PREÇOS INSUMOS'!N87</f>
        <v>0</v>
      </c>
      <c r="M253" s="155">
        <f>M53*'3. PREÇOS INSUMOS'!O87</f>
        <v>0</v>
      </c>
      <c r="N253" s="155">
        <f>N53*'3. PREÇOS INSUMOS'!P87</f>
        <v>0</v>
      </c>
      <c r="O253" s="155">
        <f>O53*'3. PREÇOS INSUMOS'!Q87</f>
        <v>0</v>
      </c>
      <c r="P253" s="155">
        <f>P53*'3. PREÇOS INSUMOS'!R87</f>
        <v>0</v>
      </c>
      <c r="Q253" s="155">
        <f>Q53*'3. PREÇOS INSUMOS'!S87</f>
        <v>0</v>
      </c>
      <c r="R253" s="155">
        <f>R53*'3. PREÇOS INSUMOS'!T87</f>
        <v>0</v>
      </c>
      <c r="S253" s="155">
        <f>S53*'3. PREÇOS INSUMOS'!U87</f>
        <v>0</v>
      </c>
      <c r="T253" s="156">
        <f>T53*'3. PREÇOS INSUMOS'!V87</f>
        <v>0</v>
      </c>
    </row>
    <row r="254" spans="1:21">
      <c r="C254" s="110">
        <v>7</v>
      </c>
      <c r="D254" s="108" t="s">
        <v>95</v>
      </c>
      <c r="E254" s="155">
        <f>E54*'3. PREÇOS INSUMOS'!G88</f>
        <v>0</v>
      </c>
      <c r="F254" s="155">
        <f>F54*'3. PREÇOS INSUMOS'!H88</f>
        <v>0</v>
      </c>
      <c r="G254" s="155">
        <f>G54*'3. PREÇOS INSUMOS'!I88</f>
        <v>0</v>
      </c>
      <c r="H254" s="155">
        <f>H54*'3. PREÇOS INSUMOS'!J88</f>
        <v>0</v>
      </c>
      <c r="I254" s="155">
        <f>I54*'3. PREÇOS INSUMOS'!K88</f>
        <v>0</v>
      </c>
      <c r="J254" s="155">
        <f>J54*'3. PREÇOS INSUMOS'!L88</f>
        <v>0</v>
      </c>
      <c r="K254" s="155">
        <f>K54*'3. PREÇOS INSUMOS'!M88</f>
        <v>0</v>
      </c>
      <c r="L254" s="155">
        <f>L54*'3. PREÇOS INSUMOS'!N88</f>
        <v>0</v>
      </c>
      <c r="M254" s="155">
        <f>M54*'3. PREÇOS INSUMOS'!O88</f>
        <v>0</v>
      </c>
      <c r="N254" s="155">
        <f>N54*'3. PREÇOS INSUMOS'!P88</f>
        <v>0</v>
      </c>
      <c r="O254" s="155">
        <f>O54*'3. PREÇOS INSUMOS'!Q88</f>
        <v>0</v>
      </c>
      <c r="P254" s="155">
        <f>P54*'3. PREÇOS INSUMOS'!R88</f>
        <v>0</v>
      </c>
      <c r="Q254" s="155">
        <f>Q54*'3. PREÇOS INSUMOS'!S88</f>
        <v>0</v>
      </c>
      <c r="R254" s="155">
        <f>R54*'3. PREÇOS INSUMOS'!T88</f>
        <v>0</v>
      </c>
      <c r="S254" s="155">
        <f>S54*'3. PREÇOS INSUMOS'!U88</f>
        <v>0</v>
      </c>
      <c r="T254" s="156">
        <f>T54*'3. PREÇOS INSUMOS'!V88</f>
        <v>0</v>
      </c>
    </row>
    <row r="255" spans="1:21">
      <c r="C255" s="110">
        <v>8</v>
      </c>
      <c r="D255" s="108" t="s">
        <v>96</v>
      </c>
      <c r="E255" s="155">
        <f>E55*'3. PREÇOS INSUMOS'!G89</f>
        <v>0</v>
      </c>
      <c r="F255" s="155">
        <f>F55*'3. PREÇOS INSUMOS'!H89</f>
        <v>0</v>
      </c>
      <c r="G255" s="155">
        <f>G55*'3. PREÇOS INSUMOS'!I89</f>
        <v>0</v>
      </c>
      <c r="H255" s="155">
        <f>H55*'3. PREÇOS INSUMOS'!J89</f>
        <v>0</v>
      </c>
      <c r="I255" s="155">
        <f>I55*'3. PREÇOS INSUMOS'!K89</f>
        <v>0</v>
      </c>
      <c r="J255" s="155">
        <f>J55*'3. PREÇOS INSUMOS'!L89</f>
        <v>0</v>
      </c>
      <c r="K255" s="155">
        <f>K55*'3. PREÇOS INSUMOS'!M89</f>
        <v>0</v>
      </c>
      <c r="L255" s="155">
        <f>L55*'3. PREÇOS INSUMOS'!N89</f>
        <v>0</v>
      </c>
      <c r="M255" s="155">
        <f>M55*'3. PREÇOS INSUMOS'!O89</f>
        <v>0</v>
      </c>
      <c r="N255" s="155">
        <f>N55*'3. PREÇOS INSUMOS'!P89</f>
        <v>0</v>
      </c>
      <c r="O255" s="155">
        <f>O55*'3. PREÇOS INSUMOS'!Q89</f>
        <v>0</v>
      </c>
      <c r="P255" s="155">
        <f>P55*'3. PREÇOS INSUMOS'!R89</f>
        <v>0</v>
      </c>
      <c r="Q255" s="155">
        <f>Q55*'3. PREÇOS INSUMOS'!S89</f>
        <v>0</v>
      </c>
      <c r="R255" s="155">
        <f>R55*'3. PREÇOS INSUMOS'!T89</f>
        <v>0</v>
      </c>
      <c r="S255" s="155">
        <f>S55*'3. PREÇOS INSUMOS'!U89</f>
        <v>0</v>
      </c>
      <c r="T255" s="156">
        <f>T55*'3. PREÇOS INSUMOS'!V89</f>
        <v>0</v>
      </c>
    </row>
    <row r="256" spans="1:21">
      <c r="C256" s="110">
        <v>9</v>
      </c>
      <c r="D256" s="108" t="s">
        <v>97</v>
      </c>
      <c r="E256" s="155">
        <f>E56*'3. PREÇOS INSUMOS'!G90</f>
        <v>0</v>
      </c>
      <c r="F256" s="155">
        <f>F56*'3. PREÇOS INSUMOS'!H90</f>
        <v>0</v>
      </c>
      <c r="G256" s="155">
        <f>G56*'3. PREÇOS INSUMOS'!I90</f>
        <v>0</v>
      </c>
      <c r="H256" s="155">
        <f>H56*'3. PREÇOS INSUMOS'!J90</f>
        <v>0</v>
      </c>
      <c r="I256" s="155">
        <f>I56*'3. PREÇOS INSUMOS'!K90</f>
        <v>0</v>
      </c>
      <c r="J256" s="155">
        <f>J56*'3. PREÇOS INSUMOS'!L90</f>
        <v>0</v>
      </c>
      <c r="K256" s="155">
        <f>K56*'3. PREÇOS INSUMOS'!M90</f>
        <v>0</v>
      </c>
      <c r="L256" s="155">
        <f>L56*'3. PREÇOS INSUMOS'!N90</f>
        <v>0</v>
      </c>
      <c r="M256" s="155">
        <f>M56*'3. PREÇOS INSUMOS'!O90</f>
        <v>0</v>
      </c>
      <c r="N256" s="155">
        <f>N56*'3. PREÇOS INSUMOS'!P90</f>
        <v>0</v>
      </c>
      <c r="O256" s="155">
        <f>O56*'3. PREÇOS INSUMOS'!Q90</f>
        <v>0</v>
      </c>
      <c r="P256" s="155">
        <f>P56*'3. PREÇOS INSUMOS'!R90</f>
        <v>0</v>
      </c>
      <c r="Q256" s="155">
        <f>Q56*'3. PREÇOS INSUMOS'!S90</f>
        <v>0</v>
      </c>
      <c r="R256" s="155">
        <f>R56*'3. PREÇOS INSUMOS'!T90</f>
        <v>0</v>
      </c>
      <c r="S256" s="155">
        <f>S56*'3. PREÇOS INSUMOS'!U90</f>
        <v>0</v>
      </c>
      <c r="T256" s="156">
        <f>T56*'3. PREÇOS INSUMOS'!V90</f>
        <v>0</v>
      </c>
    </row>
    <row r="257" spans="1:21">
      <c r="C257" s="110">
        <v>10</v>
      </c>
      <c r="D257" s="109" t="s">
        <v>98</v>
      </c>
      <c r="E257" s="155">
        <f>E57*'3. PREÇOS INSUMOS'!G91</f>
        <v>0</v>
      </c>
      <c r="F257" s="155">
        <f>F57*'3. PREÇOS INSUMOS'!H91</f>
        <v>0</v>
      </c>
      <c r="G257" s="155">
        <f>G57*'3. PREÇOS INSUMOS'!I91</f>
        <v>0</v>
      </c>
      <c r="H257" s="155">
        <f>H57*'3. PREÇOS INSUMOS'!J91</f>
        <v>0</v>
      </c>
      <c r="I257" s="155">
        <f>I57*'3. PREÇOS INSUMOS'!K91</f>
        <v>0</v>
      </c>
      <c r="J257" s="155">
        <f>J57*'3. PREÇOS INSUMOS'!L91</f>
        <v>0</v>
      </c>
      <c r="K257" s="155">
        <f>K57*'3. PREÇOS INSUMOS'!M91</f>
        <v>0</v>
      </c>
      <c r="L257" s="155">
        <f>L57*'3. PREÇOS INSUMOS'!N91</f>
        <v>0</v>
      </c>
      <c r="M257" s="155">
        <f>M57*'3. PREÇOS INSUMOS'!O91</f>
        <v>0</v>
      </c>
      <c r="N257" s="155">
        <f>N57*'3. PREÇOS INSUMOS'!P91</f>
        <v>0</v>
      </c>
      <c r="O257" s="155">
        <f>O57*'3. PREÇOS INSUMOS'!Q91</f>
        <v>0</v>
      </c>
      <c r="P257" s="155">
        <f>P57*'3. PREÇOS INSUMOS'!R91</f>
        <v>0</v>
      </c>
      <c r="Q257" s="155">
        <f>Q57*'3. PREÇOS INSUMOS'!S91</f>
        <v>0</v>
      </c>
      <c r="R257" s="155">
        <f>R57*'3. PREÇOS INSUMOS'!T91</f>
        <v>0</v>
      </c>
      <c r="S257" s="155">
        <f>S57*'3. PREÇOS INSUMOS'!U91</f>
        <v>0</v>
      </c>
      <c r="T257" s="156">
        <f>T57*'3. PREÇOS INSUMOS'!V91</f>
        <v>0</v>
      </c>
    </row>
    <row r="258" spans="1:21">
      <c r="A258" s="4"/>
      <c r="B258" s="4"/>
      <c r="C258" s="111" t="s">
        <v>88</v>
      </c>
      <c r="D258" s="112"/>
      <c r="E258" s="157">
        <f>SUM(E247:E257)</f>
        <v>0</v>
      </c>
      <c r="F258" s="157">
        <f t="shared" ref="F258:T258" si="140">SUM(F247:F257)</f>
        <v>0</v>
      </c>
      <c r="G258" s="157">
        <f t="shared" si="140"/>
        <v>0</v>
      </c>
      <c r="H258" s="157">
        <f t="shared" si="140"/>
        <v>0</v>
      </c>
      <c r="I258" s="157">
        <f t="shared" si="140"/>
        <v>0</v>
      </c>
      <c r="J258" s="157">
        <f t="shared" si="140"/>
        <v>0</v>
      </c>
      <c r="K258" s="157">
        <f t="shared" si="140"/>
        <v>0</v>
      </c>
      <c r="L258" s="157">
        <f t="shared" si="140"/>
        <v>0</v>
      </c>
      <c r="M258" s="157">
        <f t="shared" si="140"/>
        <v>0</v>
      </c>
      <c r="N258" s="157">
        <f t="shared" si="140"/>
        <v>0</v>
      </c>
      <c r="O258" s="157">
        <f t="shared" si="140"/>
        <v>0</v>
      </c>
      <c r="P258" s="157">
        <f t="shared" si="140"/>
        <v>0</v>
      </c>
      <c r="Q258" s="157">
        <f t="shared" si="140"/>
        <v>0</v>
      </c>
      <c r="R258" s="157">
        <f t="shared" si="140"/>
        <v>0</v>
      </c>
      <c r="S258" s="157">
        <f t="shared" si="140"/>
        <v>0</v>
      </c>
      <c r="T258" s="158">
        <f t="shared" si="140"/>
        <v>0</v>
      </c>
      <c r="U258" s="4"/>
    </row>
    <row r="259" spans="1:21" s="4" customFormat="1">
      <c r="A259" s="2"/>
      <c r="B259" s="2"/>
      <c r="C259" s="2"/>
      <c r="D259" s="2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2"/>
    </row>
    <row r="260" spans="1:21" s="4" customFormat="1" ht="15.75" outlineLevel="1">
      <c r="A260" s="2"/>
      <c r="B260" s="2"/>
      <c r="C260" s="2"/>
      <c r="D260" s="381" t="s">
        <v>521</v>
      </c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2"/>
    </row>
    <row r="261" spans="1:21" s="4" customFormat="1" outlineLevel="1">
      <c r="A261" s="2"/>
      <c r="B261" s="2"/>
      <c r="C261" s="705" t="s">
        <v>86</v>
      </c>
      <c r="D261" s="719"/>
      <c r="E261" s="657" t="s">
        <v>99</v>
      </c>
      <c r="F261" s="106">
        <v>1</v>
      </c>
      <c r="G261" s="106">
        <f t="shared" ref="G261" si="141">+F261+1</f>
        <v>2</v>
      </c>
      <c r="H261" s="106">
        <f t="shared" ref="H261" si="142">+G261+1</f>
        <v>3</v>
      </c>
      <c r="I261" s="106">
        <f t="shared" ref="I261" si="143">+H261+1</f>
        <v>4</v>
      </c>
      <c r="J261" s="106">
        <f t="shared" ref="J261" si="144">+I261+1</f>
        <v>5</v>
      </c>
      <c r="K261" s="106">
        <f t="shared" ref="K261" si="145">+J261+1</f>
        <v>6</v>
      </c>
      <c r="L261" s="106">
        <f t="shared" ref="L261" si="146">+K261+1</f>
        <v>7</v>
      </c>
      <c r="M261" s="106">
        <f t="shared" ref="M261" si="147">+L261+1</f>
        <v>8</v>
      </c>
      <c r="N261" s="106">
        <f t="shared" ref="N261" si="148">+M261+1</f>
        <v>9</v>
      </c>
      <c r="O261" s="106">
        <f t="shared" ref="O261" si="149">+N261+1</f>
        <v>10</v>
      </c>
      <c r="P261" s="106">
        <f t="shared" ref="P261" si="150">+O261+1</f>
        <v>11</v>
      </c>
      <c r="Q261" s="106">
        <f t="shared" ref="Q261" si="151">+P261+1</f>
        <v>12</v>
      </c>
      <c r="R261" s="106">
        <f t="shared" ref="R261" si="152">+Q261+1</f>
        <v>13</v>
      </c>
      <c r="S261" s="106">
        <f t="shared" ref="S261" si="153">+R261+1</f>
        <v>14</v>
      </c>
      <c r="T261" s="107">
        <f t="shared" ref="T261" si="154">+S261+1</f>
        <v>15</v>
      </c>
      <c r="U261" s="2"/>
    </row>
    <row r="262" spans="1:21" s="4" customFormat="1" outlineLevel="1">
      <c r="A262" s="2"/>
      <c r="B262" s="2"/>
      <c r="C262" s="110">
        <v>0</v>
      </c>
      <c r="D262" s="108" t="s">
        <v>87</v>
      </c>
      <c r="E262" s="155">
        <f>E47*'3. PREÇOS INSUMOS'!G134</f>
        <v>0</v>
      </c>
      <c r="F262" s="155">
        <f>F47*'3. PREÇOS INSUMOS'!H134</f>
        <v>0</v>
      </c>
      <c r="G262" s="155">
        <f>G47*'3. PREÇOS INSUMOS'!I134</f>
        <v>0</v>
      </c>
      <c r="H262" s="155">
        <f>H47*'3. PREÇOS INSUMOS'!J134</f>
        <v>0</v>
      </c>
      <c r="I262" s="155">
        <f>I47*'3. PREÇOS INSUMOS'!K134</f>
        <v>0</v>
      </c>
      <c r="J262" s="155">
        <f>J47*'3. PREÇOS INSUMOS'!L134</f>
        <v>0</v>
      </c>
      <c r="K262" s="155">
        <f>K47*'3. PREÇOS INSUMOS'!M134</f>
        <v>0</v>
      </c>
      <c r="L262" s="155">
        <f>L47*'3. PREÇOS INSUMOS'!N134</f>
        <v>0</v>
      </c>
      <c r="M262" s="155">
        <f>M47*'3. PREÇOS INSUMOS'!O134</f>
        <v>0</v>
      </c>
      <c r="N262" s="155">
        <f>N47*'3. PREÇOS INSUMOS'!P134</f>
        <v>0</v>
      </c>
      <c r="O262" s="155">
        <f>O47*'3. PREÇOS INSUMOS'!Q134</f>
        <v>0</v>
      </c>
      <c r="P262" s="155">
        <f>P47*'3. PREÇOS INSUMOS'!R134</f>
        <v>0</v>
      </c>
      <c r="Q262" s="155">
        <f>Q47*'3. PREÇOS INSUMOS'!S134</f>
        <v>0</v>
      </c>
      <c r="R262" s="155">
        <f>R47*'3. PREÇOS INSUMOS'!T134</f>
        <v>0</v>
      </c>
      <c r="S262" s="155">
        <f>S47*'3. PREÇOS INSUMOS'!U134</f>
        <v>0</v>
      </c>
      <c r="T262" s="156">
        <f>T47*'3. PREÇOS INSUMOS'!V134</f>
        <v>0</v>
      </c>
      <c r="U262" s="2"/>
    </row>
    <row r="263" spans="1:21" s="4" customFormat="1" outlineLevel="1">
      <c r="A263" s="2"/>
      <c r="B263" s="2"/>
      <c r="C263" s="110">
        <v>1</v>
      </c>
      <c r="D263" s="108" t="s">
        <v>89</v>
      </c>
      <c r="E263" s="155">
        <f>E48*'3. PREÇOS INSUMOS'!G135</f>
        <v>0</v>
      </c>
      <c r="F263" s="155">
        <f>F48*'3. PREÇOS INSUMOS'!H135</f>
        <v>0</v>
      </c>
      <c r="G263" s="155">
        <f>G48*'3. PREÇOS INSUMOS'!I135</f>
        <v>0</v>
      </c>
      <c r="H263" s="155">
        <f>H48*'3. PREÇOS INSUMOS'!J135</f>
        <v>0</v>
      </c>
      <c r="I263" s="155">
        <f>I48*'3. PREÇOS INSUMOS'!K135</f>
        <v>0</v>
      </c>
      <c r="J263" s="155">
        <f>J48*'3. PREÇOS INSUMOS'!L135</f>
        <v>0</v>
      </c>
      <c r="K263" s="155">
        <f>K48*'3. PREÇOS INSUMOS'!M135</f>
        <v>0</v>
      </c>
      <c r="L263" s="155">
        <f>L48*'3. PREÇOS INSUMOS'!N135</f>
        <v>0</v>
      </c>
      <c r="M263" s="155">
        <f>M48*'3. PREÇOS INSUMOS'!O135</f>
        <v>0</v>
      </c>
      <c r="N263" s="155">
        <f>N48*'3. PREÇOS INSUMOS'!P135</f>
        <v>0</v>
      </c>
      <c r="O263" s="155">
        <f>O48*'3. PREÇOS INSUMOS'!Q135</f>
        <v>0</v>
      </c>
      <c r="P263" s="155">
        <f>P48*'3. PREÇOS INSUMOS'!R135</f>
        <v>0</v>
      </c>
      <c r="Q263" s="155">
        <f>Q48*'3. PREÇOS INSUMOS'!S135</f>
        <v>0</v>
      </c>
      <c r="R263" s="155">
        <f>R48*'3. PREÇOS INSUMOS'!T135</f>
        <v>0</v>
      </c>
      <c r="S263" s="155">
        <f>S48*'3. PREÇOS INSUMOS'!U135</f>
        <v>0</v>
      </c>
      <c r="T263" s="156">
        <f>T48*'3. PREÇOS INSUMOS'!V135</f>
        <v>0</v>
      </c>
      <c r="U263" s="2"/>
    </row>
    <row r="264" spans="1:21" s="4" customFormat="1" outlineLevel="1">
      <c r="A264" s="2"/>
      <c r="B264" s="2"/>
      <c r="C264" s="110">
        <v>2</v>
      </c>
      <c r="D264" s="108" t="s">
        <v>90</v>
      </c>
      <c r="E264" s="155">
        <f>E49*'3. PREÇOS INSUMOS'!G136</f>
        <v>0</v>
      </c>
      <c r="F264" s="155">
        <f>F49*'3. PREÇOS INSUMOS'!H136</f>
        <v>0</v>
      </c>
      <c r="G264" s="155">
        <f>G49*'3. PREÇOS INSUMOS'!I136</f>
        <v>0</v>
      </c>
      <c r="H264" s="155">
        <f>H49*'3. PREÇOS INSUMOS'!J136</f>
        <v>0</v>
      </c>
      <c r="I264" s="155">
        <f>I49*'3. PREÇOS INSUMOS'!K136</f>
        <v>0</v>
      </c>
      <c r="J264" s="155">
        <f>J49*'3. PREÇOS INSUMOS'!L136</f>
        <v>0</v>
      </c>
      <c r="K264" s="155">
        <f>K49*'3. PREÇOS INSUMOS'!M136</f>
        <v>0</v>
      </c>
      <c r="L264" s="155">
        <f>L49*'3. PREÇOS INSUMOS'!N136</f>
        <v>0</v>
      </c>
      <c r="M264" s="155">
        <f>M49*'3. PREÇOS INSUMOS'!O136</f>
        <v>0</v>
      </c>
      <c r="N264" s="155">
        <f>N49*'3. PREÇOS INSUMOS'!P136</f>
        <v>0</v>
      </c>
      <c r="O264" s="155">
        <f>O49*'3. PREÇOS INSUMOS'!Q136</f>
        <v>0</v>
      </c>
      <c r="P264" s="155">
        <f>P49*'3. PREÇOS INSUMOS'!R136</f>
        <v>0</v>
      </c>
      <c r="Q264" s="155">
        <f>Q49*'3. PREÇOS INSUMOS'!S136</f>
        <v>0</v>
      </c>
      <c r="R264" s="155">
        <f>R49*'3. PREÇOS INSUMOS'!T136</f>
        <v>0</v>
      </c>
      <c r="S264" s="155">
        <f>S49*'3. PREÇOS INSUMOS'!U136</f>
        <v>0</v>
      </c>
      <c r="T264" s="156">
        <f>T49*'3. PREÇOS INSUMOS'!V136</f>
        <v>0</v>
      </c>
      <c r="U264" s="2"/>
    </row>
    <row r="265" spans="1:21" s="4" customFormat="1" outlineLevel="1">
      <c r="A265" s="2"/>
      <c r="B265" s="2"/>
      <c r="C265" s="110">
        <v>3</v>
      </c>
      <c r="D265" s="108" t="s">
        <v>91</v>
      </c>
      <c r="E265" s="155">
        <f>E50*'3. PREÇOS INSUMOS'!G137</f>
        <v>0</v>
      </c>
      <c r="F265" s="155">
        <f>F50*'3. PREÇOS INSUMOS'!H137</f>
        <v>0</v>
      </c>
      <c r="G265" s="155">
        <f>G50*'3. PREÇOS INSUMOS'!I137</f>
        <v>0</v>
      </c>
      <c r="H265" s="155">
        <f>H50*'3. PREÇOS INSUMOS'!J137</f>
        <v>0</v>
      </c>
      <c r="I265" s="155">
        <f>I50*'3. PREÇOS INSUMOS'!K137</f>
        <v>0</v>
      </c>
      <c r="J265" s="155">
        <f>J50*'3. PREÇOS INSUMOS'!L137</f>
        <v>0</v>
      </c>
      <c r="K265" s="155">
        <f>K50*'3. PREÇOS INSUMOS'!M137</f>
        <v>0</v>
      </c>
      <c r="L265" s="155">
        <f>L50*'3. PREÇOS INSUMOS'!N137</f>
        <v>0</v>
      </c>
      <c r="M265" s="155">
        <f>M50*'3. PREÇOS INSUMOS'!O137</f>
        <v>0</v>
      </c>
      <c r="N265" s="155">
        <f>N50*'3. PREÇOS INSUMOS'!P137</f>
        <v>0</v>
      </c>
      <c r="O265" s="155">
        <f>O50*'3. PREÇOS INSUMOS'!Q137</f>
        <v>0</v>
      </c>
      <c r="P265" s="155">
        <f>P50*'3. PREÇOS INSUMOS'!R137</f>
        <v>0</v>
      </c>
      <c r="Q265" s="155">
        <f>Q50*'3. PREÇOS INSUMOS'!S137</f>
        <v>0</v>
      </c>
      <c r="R265" s="155">
        <f>R50*'3. PREÇOS INSUMOS'!T137</f>
        <v>0</v>
      </c>
      <c r="S265" s="155">
        <f>S50*'3. PREÇOS INSUMOS'!U137</f>
        <v>0</v>
      </c>
      <c r="T265" s="156">
        <f>T50*'3. PREÇOS INSUMOS'!V137</f>
        <v>0</v>
      </c>
      <c r="U265" s="2"/>
    </row>
    <row r="266" spans="1:21" s="4" customFormat="1" outlineLevel="1">
      <c r="A266" s="2"/>
      <c r="B266" s="2"/>
      <c r="C266" s="110">
        <v>4</v>
      </c>
      <c r="D266" s="108" t="s">
        <v>92</v>
      </c>
      <c r="E266" s="155">
        <f>E51*'3. PREÇOS INSUMOS'!G138</f>
        <v>0</v>
      </c>
      <c r="F266" s="155">
        <f>F51*'3. PREÇOS INSUMOS'!H138</f>
        <v>0</v>
      </c>
      <c r="G266" s="155">
        <f>G51*'3. PREÇOS INSUMOS'!I138</f>
        <v>0</v>
      </c>
      <c r="H266" s="155">
        <f>H51*'3. PREÇOS INSUMOS'!J138</f>
        <v>0</v>
      </c>
      <c r="I266" s="155">
        <f>I51*'3. PREÇOS INSUMOS'!K138</f>
        <v>0</v>
      </c>
      <c r="J266" s="155">
        <f>J51*'3. PREÇOS INSUMOS'!L138</f>
        <v>0</v>
      </c>
      <c r="K266" s="155">
        <f>K51*'3. PREÇOS INSUMOS'!M138</f>
        <v>0</v>
      </c>
      <c r="L266" s="155">
        <f>L51*'3. PREÇOS INSUMOS'!N138</f>
        <v>0</v>
      </c>
      <c r="M266" s="155">
        <f>M51*'3. PREÇOS INSUMOS'!O138</f>
        <v>0</v>
      </c>
      <c r="N266" s="155">
        <f>N51*'3. PREÇOS INSUMOS'!P138</f>
        <v>0</v>
      </c>
      <c r="O266" s="155">
        <f>O51*'3. PREÇOS INSUMOS'!Q138</f>
        <v>0</v>
      </c>
      <c r="P266" s="155">
        <f>P51*'3. PREÇOS INSUMOS'!R138</f>
        <v>0</v>
      </c>
      <c r="Q266" s="155">
        <f>Q51*'3. PREÇOS INSUMOS'!S138</f>
        <v>0</v>
      </c>
      <c r="R266" s="155">
        <f>R51*'3. PREÇOS INSUMOS'!T138</f>
        <v>0</v>
      </c>
      <c r="S266" s="155">
        <f>S51*'3. PREÇOS INSUMOS'!U138</f>
        <v>0</v>
      </c>
      <c r="T266" s="156">
        <f>T51*'3. PREÇOS INSUMOS'!V138</f>
        <v>0</v>
      </c>
      <c r="U266" s="2"/>
    </row>
    <row r="267" spans="1:21" s="4" customFormat="1" outlineLevel="1">
      <c r="A267" s="2"/>
      <c r="B267" s="2"/>
      <c r="C267" s="110">
        <v>5</v>
      </c>
      <c r="D267" s="108" t="s">
        <v>93</v>
      </c>
      <c r="E267" s="155">
        <f>E52*'3. PREÇOS INSUMOS'!G139</f>
        <v>0</v>
      </c>
      <c r="F267" s="155">
        <f>F52*'3. PREÇOS INSUMOS'!H139</f>
        <v>0</v>
      </c>
      <c r="G267" s="155">
        <f>G52*'3. PREÇOS INSUMOS'!I139</f>
        <v>0</v>
      </c>
      <c r="H267" s="155">
        <f>H52*'3. PREÇOS INSUMOS'!J139</f>
        <v>0</v>
      </c>
      <c r="I267" s="155">
        <f>I52*'3. PREÇOS INSUMOS'!K139</f>
        <v>0</v>
      </c>
      <c r="J267" s="155">
        <f>J52*'3. PREÇOS INSUMOS'!L139</f>
        <v>0</v>
      </c>
      <c r="K267" s="155">
        <f>K52*'3. PREÇOS INSUMOS'!M139</f>
        <v>0</v>
      </c>
      <c r="L267" s="155">
        <f>L52*'3. PREÇOS INSUMOS'!N139</f>
        <v>0</v>
      </c>
      <c r="M267" s="155">
        <f>M52*'3. PREÇOS INSUMOS'!O139</f>
        <v>0</v>
      </c>
      <c r="N267" s="155">
        <f>N52*'3. PREÇOS INSUMOS'!P139</f>
        <v>0</v>
      </c>
      <c r="O267" s="155">
        <f>O52*'3. PREÇOS INSUMOS'!Q139</f>
        <v>0</v>
      </c>
      <c r="P267" s="155">
        <f>P52*'3. PREÇOS INSUMOS'!R139</f>
        <v>0</v>
      </c>
      <c r="Q267" s="155">
        <f>Q52*'3. PREÇOS INSUMOS'!S139</f>
        <v>0</v>
      </c>
      <c r="R267" s="155">
        <f>R52*'3. PREÇOS INSUMOS'!T139</f>
        <v>0</v>
      </c>
      <c r="S267" s="155">
        <f>S52*'3. PREÇOS INSUMOS'!U139</f>
        <v>0</v>
      </c>
      <c r="T267" s="156">
        <f>T52*'3. PREÇOS INSUMOS'!V139</f>
        <v>0</v>
      </c>
      <c r="U267" s="2"/>
    </row>
    <row r="268" spans="1:21" s="4" customFormat="1" outlineLevel="1">
      <c r="A268" s="2"/>
      <c r="B268" s="2"/>
      <c r="C268" s="110">
        <v>6</v>
      </c>
      <c r="D268" s="108" t="s">
        <v>94</v>
      </c>
      <c r="E268" s="155">
        <f>E53*'3. PREÇOS INSUMOS'!G140</f>
        <v>0</v>
      </c>
      <c r="F268" s="155">
        <f>F53*'3. PREÇOS INSUMOS'!H140</f>
        <v>0</v>
      </c>
      <c r="G268" s="155">
        <f>G53*'3. PREÇOS INSUMOS'!I140</f>
        <v>0</v>
      </c>
      <c r="H268" s="155">
        <f>H53*'3. PREÇOS INSUMOS'!J140</f>
        <v>0</v>
      </c>
      <c r="I268" s="155">
        <f>I53*'3. PREÇOS INSUMOS'!K140</f>
        <v>0</v>
      </c>
      <c r="J268" s="155">
        <f>J53*'3. PREÇOS INSUMOS'!L140</f>
        <v>0</v>
      </c>
      <c r="K268" s="155">
        <f>K53*'3. PREÇOS INSUMOS'!M140</f>
        <v>0</v>
      </c>
      <c r="L268" s="155">
        <f>L53*'3. PREÇOS INSUMOS'!N140</f>
        <v>0</v>
      </c>
      <c r="M268" s="155">
        <f>M53*'3. PREÇOS INSUMOS'!O140</f>
        <v>0</v>
      </c>
      <c r="N268" s="155">
        <f>N53*'3. PREÇOS INSUMOS'!P140</f>
        <v>0</v>
      </c>
      <c r="O268" s="155">
        <f>O53*'3. PREÇOS INSUMOS'!Q140</f>
        <v>0</v>
      </c>
      <c r="P268" s="155">
        <f>P53*'3. PREÇOS INSUMOS'!R140</f>
        <v>0</v>
      </c>
      <c r="Q268" s="155">
        <f>Q53*'3. PREÇOS INSUMOS'!S140</f>
        <v>0</v>
      </c>
      <c r="R268" s="155">
        <f>R53*'3. PREÇOS INSUMOS'!T140</f>
        <v>0</v>
      </c>
      <c r="S268" s="155">
        <f>S53*'3. PREÇOS INSUMOS'!U140</f>
        <v>0</v>
      </c>
      <c r="T268" s="156">
        <f>T53*'3. PREÇOS INSUMOS'!V140</f>
        <v>0</v>
      </c>
      <c r="U268" s="2"/>
    </row>
    <row r="269" spans="1:21" s="4" customFormat="1" outlineLevel="1">
      <c r="A269" s="2"/>
      <c r="B269" s="2"/>
      <c r="C269" s="110">
        <v>7</v>
      </c>
      <c r="D269" s="108" t="s">
        <v>95</v>
      </c>
      <c r="E269" s="155">
        <f>E54*'3. PREÇOS INSUMOS'!G141</f>
        <v>0</v>
      </c>
      <c r="F269" s="155">
        <f>F54*'3. PREÇOS INSUMOS'!H141</f>
        <v>0</v>
      </c>
      <c r="G269" s="155">
        <f>G54*'3. PREÇOS INSUMOS'!I141</f>
        <v>0</v>
      </c>
      <c r="H269" s="155">
        <f>H54*'3. PREÇOS INSUMOS'!J141</f>
        <v>0</v>
      </c>
      <c r="I269" s="155">
        <f>I54*'3. PREÇOS INSUMOS'!K141</f>
        <v>0</v>
      </c>
      <c r="J269" s="155">
        <f>J54*'3. PREÇOS INSUMOS'!L141</f>
        <v>0</v>
      </c>
      <c r="K269" s="155">
        <f>K54*'3. PREÇOS INSUMOS'!M141</f>
        <v>0</v>
      </c>
      <c r="L269" s="155">
        <f>L54*'3. PREÇOS INSUMOS'!N141</f>
        <v>0</v>
      </c>
      <c r="M269" s="155">
        <f>M54*'3. PREÇOS INSUMOS'!O141</f>
        <v>0</v>
      </c>
      <c r="N269" s="155">
        <f>N54*'3. PREÇOS INSUMOS'!P141</f>
        <v>0</v>
      </c>
      <c r="O269" s="155">
        <f>O54*'3. PREÇOS INSUMOS'!Q141</f>
        <v>0</v>
      </c>
      <c r="P269" s="155">
        <f>P54*'3. PREÇOS INSUMOS'!R141</f>
        <v>0</v>
      </c>
      <c r="Q269" s="155">
        <f>Q54*'3. PREÇOS INSUMOS'!S141</f>
        <v>0</v>
      </c>
      <c r="R269" s="155">
        <f>R54*'3. PREÇOS INSUMOS'!T141</f>
        <v>0</v>
      </c>
      <c r="S269" s="155">
        <f>S54*'3. PREÇOS INSUMOS'!U141</f>
        <v>0</v>
      </c>
      <c r="T269" s="156">
        <f>T54*'3. PREÇOS INSUMOS'!V141</f>
        <v>0</v>
      </c>
      <c r="U269" s="2"/>
    </row>
    <row r="270" spans="1:21" s="4" customFormat="1" outlineLevel="1">
      <c r="A270" s="2"/>
      <c r="B270" s="2"/>
      <c r="C270" s="110">
        <v>8</v>
      </c>
      <c r="D270" s="108" t="s">
        <v>96</v>
      </c>
      <c r="E270" s="155">
        <f>E55*'3. PREÇOS INSUMOS'!G142</f>
        <v>0</v>
      </c>
      <c r="F270" s="155">
        <f>F55*'3. PREÇOS INSUMOS'!H142</f>
        <v>0</v>
      </c>
      <c r="G270" s="155">
        <f>G55*'3. PREÇOS INSUMOS'!I142</f>
        <v>0</v>
      </c>
      <c r="H270" s="155">
        <f>H55*'3. PREÇOS INSUMOS'!J142</f>
        <v>0</v>
      </c>
      <c r="I270" s="155">
        <f>I55*'3. PREÇOS INSUMOS'!K142</f>
        <v>0</v>
      </c>
      <c r="J270" s="155">
        <f>J55*'3. PREÇOS INSUMOS'!L142</f>
        <v>0</v>
      </c>
      <c r="K270" s="155">
        <f>K55*'3. PREÇOS INSUMOS'!M142</f>
        <v>0</v>
      </c>
      <c r="L270" s="155">
        <f>L55*'3. PREÇOS INSUMOS'!N142</f>
        <v>0</v>
      </c>
      <c r="M270" s="155">
        <f>M55*'3. PREÇOS INSUMOS'!O142</f>
        <v>0</v>
      </c>
      <c r="N270" s="155">
        <f>N55*'3. PREÇOS INSUMOS'!P142</f>
        <v>0</v>
      </c>
      <c r="O270" s="155">
        <f>O55*'3. PREÇOS INSUMOS'!Q142</f>
        <v>0</v>
      </c>
      <c r="P270" s="155">
        <f>P55*'3. PREÇOS INSUMOS'!R142</f>
        <v>0</v>
      </c>
      <c r="Q270" s="155">
        <f>Q55*'3. PREÇOS INSUMOS'!S142</f>
        <v>0</v>
      </c>
      <c r="R270" s="155">
        <f>R55*'3. PREÇOS INSUMOS'!T142</f>
        <v>0</v>
      </c>
      <c r="S270" s="155">
        <f>S55*'3. PREÇOS INSUMOS'!U142</f>
        <v>0</v>
      </c>
      <c r="T270" s="156">
        <f>T55*'3. PREÇOS INSUMOS'!V142</f>
        <v>0</v>
      </c>
      <c r="U270" s="2"/>
    </row>
    <row r="271" spans="1:21" s="4" customFormat="1" outlineLevel="1">
      <c r="A271" s="2"/>
      <c r="B271" s="2"/>
      <c r="C271" s="110">
        <v>9</v>
      </c>
      <c r="D271" s="108" t="s">
        <v>97</v>
      </c>
      <c r="E271" s="155">
        <f>E56*'3. PREÇOS INSUMOS'!G143</f>
        <v>0</v>
      </c>
      <c r="F271" s="155">
        <f>F56*'3. PREÇOS INSUMOS'!H143</f>
        <v>0</v>
      </c>
      <c r="G271" s="155">
        <f>G56*'3. PREÇOS INSUMOS'!I143</f>
        <v>0</v>
      </c>
      <c r="H271" s="155">
        <f>H56*'3. PREÇOS INSUMOS'!J143</f>
        <v>0</v>
      </c>
      <c r="I271" s="155">
        <f>I56*'3. PREÇOS INSUMOS'!K143</f>
        <v>0</v>
      </c>
      <c r="J271" s="155">
        <f>J56*'3. PREÇOS INSUMOS'!L143</f>
        <v>0</v>
      </c>
      <c r="K271" s="155">
        <f>K56*'3. PREÇOS INSUMOS'!M143</f>
        <v>0</v>
      </c>
      <c r="L271" s="155">
        <f>L56*'3. PREÇOS INSUMOS'!N143</f>
        <v>0</v>
      </c>
      <c r="M271" s="155">
        <f>M56*'3. PREÇOS INSUMOS'!O143</f>
        <v>0</v>
      </c>
      <c r="N271" s="155">
        <f>N56*'3. PREÇOS INSUMOS'!P143</f>
        <v>0</v>
      </c>
      <c r="O271" s="155">
        <f>O56*'3. PREÇOS INSUMOS'!Q143</f>
        <v>0</v>
      </c>
      <c r="P271" s="155">
        <f>P56*'3. PREÇOS INSUMOS'!R143</f>
        <v>0</v>
      </c>
      <c r="Q271" s="155">
        <f>Q56*'3. PREÇOS INSUMOS'!S143</f>
        <v>0</v>
      </c>
      <c r="R271" s="155">
        <f>R56*'3. PREÇOS INSUMOS'!T143</f>
        <v>0</v>
      </c>
      <c r="S271" s="155">
        <f>S56*'3. PREÇOS INSUMOS'!U143</f>
        <v>0</v>
      </c>
      <c r="T271" s="156">
        <f>T56*'3. PREÇOS INSUMOS'!V143</f>
        <v>0</v>
      </c>
      <c r="U271" s="2"/>
    </row>
    <row r="272" spans="1:21" s="4" customFormat="1" outlineLevel="1">
      <c r="A272" s="2"/>
      <c r="B272" s="2"/>
      <c r="C272" s="110">
        <v>10</v>
      </c>
      <c r="D272" s="109" t="s">
        <v>98</v>
      </c>
      <c r="E272" s="155">
        <f>E57*'3. PREÇOS INSUMOS'!G144</f>
        <v>0</v>
      </c>
      <c r="F272" s="155">
        <f>F57*'3. PREÇOS INSUMOS'!H144</f>
        <v>0</v>
      </c>
      <c r="G272" s="155">
        <f>G57*'3. PREÇOS INSUMOS'!I144</f>
        <v>0</v>
      </c>
      <c r="H272" s="155">
        <f>H57*'3. PREÇOS INSUMOS'!J144</f>
        <v>0</v>
      </c>
      <c r="I272" s="155">
        <f>I57*'3. PREÇOS INSUMOS'!K144</f>
        <v>0</v>
      </c>
      <c r="J272" s="155">
        <f>J57*'3. PREÇOS INSUMOS'!L144</f>
        <v>0</v>
      </c>
      <c r="K272" s="155">
        <f>K57*'3. PREÇOS INSUMOS'!M144</f>
        <v>0</v>
      </c>
      <c r="L272" s="155">
        <f>L57*'3. PREÇOS INSUMOS'!N144</f>
        <v>0</v>
      </c>
      <c r="M272" s="155">
        <f>M57*'3. PREÇOS INSUMOS'!O144</f>
        <v>0</v>
      </c>
      <c r="N272" s="155">
        <f>N57*'3. PREÇOS INSUMOS'!P144</f>
        <v>0</v>
      </c>
      <c r="O272" s="155">
        <f>O57*'3. PREÇOS INSUMOS'!Q144</f>
        <v>0</v>
      </c>
      <c r="P272" s="155">
        <f>P57*'3. PREÇOS INSUMOS'!R144</f>
        <v>0</v>
      </c>
      <c r="Q272" s="155">
        <f>Q57*'3. PREÇOS INSUMOS'!S144</f>
        <v>0</v>
      </c>
      <c r="R272" s="155">
        <f>R57*'3. PREÇOS INSUMOS'!T144</f>
        <v>0</v>
      </c>
      <c r="S272" s="155">
        <f>S57*'3. PREÇOS INSUMOS'!U144</f>
        <v>0</v>
      </c>
      <c r="T272" s="156">
        <f>T57*'3. PREÇOS INSUMOS'!V144</f>
        <v>0</v>
      </c>
      <c r="U272" s="2"/>
    </row>
    <row r="273" spans="1:21" s="4" customFormat="1" outlineLevel="1">
      <c r="A273" s="2"/>
      <c r="B273" s="2"/>
      <c r="C273" s="111" t="s">
        <v>88</v>
      </c>
      <c r="D273" s="112"/>
      <c r="E273" s="157">
        <f>SUM(E262:E272)</f>
        <v>0</v>
      </c>
      <c r="F273" s="157">
        <f t="shared" ref="F273:T273" si="155">SUM(F262:F272)</f>
        <v>0</v>
      </c>
      <c r="G273" s="157">
        <f t="shared" si="155"/>
        <v>0</v>
      </c>
      <c r="H273" s="157">
        <f t="shared" si="155"/>
        <v>0</v>
      </c>
      <c r="I273" s="157">
        <f t="shared" si="155"/>
        <v>0</v>
      </c>
      <c r="J273" s="157">
        <f t="shared" si="155"/>
        <v>0</v>
      </c>
      <c r="K273" s="157">
        <f t="shared" si="155"/>
        <v>0</v>
      </c>
      <c r="L273" s="157">
        <f t="shared" si="155"/>
        <v>0</v>
      </c>
      <c r="M273" s="157">
        <f t="shared" si="155"/>
        <v>0</v>
      </c>
      <c r="N273" s="157">
        <f t="shared" si="155"/>
        <v>0</v>
      </c>
      <c r="O273" s="157">
        <f t="shared" si="155"/>
        <v>0</v>
      </c>
      <c r="P273" s="157">
        <f t="shared" si="155"/>
        <v>0</v>
      </c>
      <c r="Q273" s="157">
        <f t="shared" si="155"/>
        <v>0</v>
      </c>
      <c r="R273" s="157">
        <f t="shared" si="155"/>
        <v>0</v>
      </c>
      <c r="S273" s="157">
        <f t="shared" si="155"/>
        <v>0</v>
      </c>
      <c r="T273" s="158">
        <f t="shared" si="155"/>
        <v>0</v>
      </c>
      <c r="U273" s="2"/>
    </row>
    <row r="274" spans="1:21" s="4" customFormat="1" outlineLevel="1">
      <c r="A274" s="2"/>
      <c r="B274" s="2"/>
      <c r="C274" s="2"/>
      <c r="D274" s="2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2"/>
    </row>
    <row r="275" spans="1:21" s="4" customFormat="1">
      <c r="A275" s="2"/>
      <c r="B275" s="2"/>
      <c r="C275" s="2"/>
      <c r="D275" s="2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2"/>
    </row>
    <row r="276" spans="1:21" ht="18" customHeight="1">
      <c r="C276" s="587" t="s">
        <v>219</v>
      </c>
      <c r="D276" s="588"/>
      <c r="E276" s="589"/>
      <c r="F276" s="589"/>
      <c r="G276" s="589"/>
      <c r="H276" s="589"/>
      <c r="I276" s="589"/>
      <c r="J276" s="589"/>
      <c r="K276" s="589"/>
      <c r="L276" s="589"/>
      <c r="M276" s="589"/>
      <c r="N276" s="589"/>
      <c r="O276" s="589"/>
      <c r="P276" s="589"/>
      <c r="Q276" s="589"/>
      <c r="R276" s="589"/>
      <c r="S276" s="589"/>
      <c r="T276" s="589"/>
      <c r="U276" s="589"/>
    </row>
    <row r="277" spans="1:21">
      <c r="C277" s="4"/>
    </row>
    <row r="278" spans="1:21" ht="15.75">
      <c r="A278" s="2">
        <v>1</v>
      </c>
      <c r="C278" s="718" t="str">
        <f>"7.2.2.1 - "&amp;VLOOKUP(A278,TIPOLOGIA!$D$10:$E$12,2,0)</f>
        <v>7.2.2.1 - MICROÔNIBUS</v>
      </c>
      <c r="D278" s="718"/>
      <c r="E278" s="718"/>
      <c r="F278" s="718"/>
    </row>
    <row r="279" spans="1:21" ht="18" customHeight="1">
      <c r="C279" s="705" t="s">
        <v>86</v>
      </c>
      <c r="D279" s="719"/>
      <c r="E279" s="105" t="s">
        <v>99</v>
      </c>
      <c r="F279" s="106">
        <v>1</v>
      </c>
      <c r="G279" s="106">
        <f t="shared" ref="G279:T279" si="156">+F279+1</f>
        <v>2</v>
      </c>
      <c r="H279" s="106">
        <f t="shared" si="156"/>
        <v>3</v>
      </c>
      <c r="I279" s="106">
        <f t="shared" si="156"/>
        <v>4</v>
      </c>
      <c r="J279" s="106">
        <f t="shared" si="156"/>
        <v>5</v>
      </c>
      <c r="K279" s="106">
        <f t="shared" si="156"/>
        <v>6</v>
      </c>
      <c r="L279" s="106">
        <f t="shared" si="156"/>
        <v>7</v>
      </c>
      <c r="M279" s="106">
        <f t="shared" si="156"/>
        <v>8</v>
      </c>
      <c r="N279" s="106">
        <f t="shared" si="156"/>
        <v>9</v>
      </c>
      <c r="O279" s="106">
        <f t="shared" si="156"/>
        <v>10</v>
      </c>
      <c r="P279" s="106">
        <f t="shared" si="156"/>
        <v>11</v>
      </c>
      <c r="Q279" s="106">
        <f t="shared" si="156"/>
        <v>12</v>
      </c>
      <c r="R279" s="106">
        <f t="shared" si="156"/>
        <v>13</v>
      </c>
      <c r="S279" s="106">
        <f t="shared" si="156"/>
        <v>14</v>
      </c>
      <c r="T279" s="107">
        <f t="shared" si="156"/>
        <v>15</v>
      </c>
      <c r="U279" s="107" t="s">
        <v>222</v>
      </c>
    </row>
    <row r="280" spans="1:21">
      <c r="C280" s="110">
        <v>0</v>
      </c>
      <c r="D280" s="108" t="s">
        <v>87</v>
      </c>
      <c r="E280" s="155">
        <f>+E66*'3. PREÇOS INSUMOS'!G51</f>
        <v>0</v>
      </c>
      <c r="F280" s="155">
        <f>+F66*'3. PREÇOS INSUMOS'!G51</f>
        <v>0</v>
      </c>
      <c r="G280" s="155">
        <f>+G66*'3. PREÇOS INSUMOS'!H51</f>
        <v>0</v>
      </c>
      <c r="H280" s="155">
        <f>+H66*'3. PREÇOS INSUMOS'!I51</f>
        <v>0</v>
      </c>
      <c r="I280" s="155">
        <f>+I66*'3. PREÇOS INSUMOS'!J51</f>
        <v>0</v>
      </c>
      <c r="J280" s="155">
        <f>+J66*'3. PREÇOS INSUMOS'!K51</f>
        <v>0</v>
      </c>
      <c r="K280" s="155">
        <f>+K66*'3. PREÇOS INSUMOS'!L51</f>
        <v>0</v>
      </c>
      <c r="L280" s="155">
        <f>+L66*'3. PREÇOS INSUMOS'!M51</f>
        <v>0</v>
      </c>
      <c r="M280" s="155">
        <f>+M66*'3. PREÇOS INSUMOS'!N51</f>
        <v>0</v>
      </c>
      <c r="N280" s="155">
        <f>+N66*'3. PREÇOS INSUMOS'!O51</f>
        <v>0</v>
      </c>
      <c r="O280" s="155">
        <f>+O66*'3. PREÇOS INSUMOS'!P51</f>
        <v>0</v>
      </c>
      <c r="P280" s="155">
        <f>+P66*'3. PREÇOS INSUMOS'!Q51</f>
        <v>0</v>
      </c>
      <c r="Q280" s="155">
        <f>+Q66*'3. PREÇOS INSUMOS'!R51</f>
        <v>0</v>
      </c>
      <c r="R280" s="155">
        <f>+R66*'3. PREÇOS INSUMOS'!S51</f>
        <v>0</v>
      </c>
      <c r="S280" s="155">
        <f>+S66*'3. PREÇOS INSUMOS'!T51</f>
        <v>0</v>
      </c>
      <c r="T280" s="156">
        <f>+T66*'3. PREÇOS INSUMOS'!U51</f>
        <v>0</v>
      </c>
      <c r="U280" s="156">
        <f>+U66*'3. PREÇOS INSUMOS'!U51</f>
        <v>0</v>
      </c>
    </row>
    <row r="281" spans="1:21" ht="18" customHeight="1">
      <c r="C281" s="110">
        <v>1</v>
      </c>
      <c r="D281" s="108" t="s">
        <v>89</v>
      </c>
      <c r="E281" s="155">
        <f>+E67*'3. PREÇOS INSUMOS'!G52</f>
        <v>0</v>
      </c>
      <c r="F281" s="155">
        <f>+F67*'3. PREÇOS INSUMOS'!G52</f>
        <v>0</v>
      </c>
      <c r="G281" s="155">
        <f>+G67*'3. PREÇOS INSUMOS'!H52</f>
        <v>0</v>
      </c>
      <c r="H281" s="155">
        <f>+H67*'3. PREÇOS INSUMOS'!I52</f>
        <v>0</v>
      </c>
      <c r="I281" s="155">
        <f>+I67*'3. PREÇOS INSUMOS'!J52</f>
        <v>0</v>
      </c>
      <c r="J281" s="155">
        <f>+J67*'3. PREÇOS INSUMOS'!K52</f>
        <v>0</v>
      </c>
      <c r="K281" s="155">
        <f>+K67*'3. PREÇOS INSUMOS'!L52</f>
        <v>0</v>
      </c>
      <c r="L281" s="155">
        <f>+L67*'3. PREÇOS INSUMOS'!M52</f>
        <v>0</v>
      </c>
      <c r="M281" s="155">
        <f>+M67*'3. PREÇOS INSUMOS'!N52</f>
        <v>0</v>
      </c>
      <c r="N281" s="155">
        <f>+N67*'3. PREÇOS INSUMOS'!O52</f>
        <v>0</v>
      </c>
      <c r="O281" s="155">
        <f>+O67*'3. PREÇOS INSUMOS'!P52</f>
        <v>0</v>
      </c>
      <c r="P281" s="155">
        <f>+P67*'3. PREÇOS INSUMOS'!Q52</f>
        <v>0</v>
      </c>
      <c r="Q281" s="155">
        <f>+Q67*'3. PREÇOS INSUMOS'!R52</f>
        <v>0</v>
      </c>
      <c r="R281" s="155">
        <f>+R67*'3. PREÇOS INSUMOS'!S52</f>
        <v>0</v>
      </c>
      <c r="S281" s="155">
        <f>+S67*'3. PREÇOS INSUMOS'!T52</f>
        <v>0</v>
      </c>
      <c r="T281" s="156">
        <f>+T67*'3. PREÇOS INSUMOS'!U52</f>
        <v>0</v>
      </c>
      <c r="U281" s="156">
        <f>+U67*'3. PREÇOS INSUMOS'!U52</f>
        <v>0</v>
      </c>
    </row>
    <row r="282" spans="1:21">
      <c r="C282" s="110">
        <v>2</v>
      </c>
      <c r="D282" s="108" t="s">
        <v>90</v>
      </c>
      <c r="E282" s="155">
        <f>+E68*'3. PREÇOS INSUMOS'!G53</f>
        <v>0</v>
      </c>
      <c r="F282" s="155">
        <f>+F68*'3. PREÇOS INSUMOS'!G53</f>
        <v>0</v>
      </c>
      <c r="G282" s="155">
        <f>+G68*'3. PREÇOS INSUMOS'!H53</f>
        <v>0</v>
      </c>
      <c r="H282" s="155">
        <f>+H68*'3. PREÇOS INSUMOS'!I53</f>
        <v>0</v>
      </c>
      <c r="I282" s="155">
        <f>+I68*'3. PREÇOS INSUMOS'!J53</f>
        <v>0</v>
      </c>
      <c r="J282" s="155">
        <f>+J68*'3. PREÇOS INSUMOS'!K53</f>
        <v>0</v>
      </c>
      <c r="K282" s="155">
        <f>+K68*'3. PREÇOS INSUMOS'!L53</f>
        <v>0</v>
      </c>
      <c r="L282" s="155">
        <f>+L68*'3. PREÇOS INSUMOS'!M53</f>
        <v>0</v>
      </c>
      <c r="M282" s="155">
        <f>+M68*'3. PREÇOS INSUMOS'!N53</f>
        <v>0</v>
      </c>
      <c r="N282" s="155">
        <f>+N68*'3. PREÇOS INSUMOS'!O53</f>
        <v>0</v>
      </c>
      <c r="O282" s="155">
        <f>+O68*'3. PREÇOS INSUMOS'!P53</f>
        <v>0</v>
      </c>
      <c r="P282" s="155">
        <f>+P68*'3. PREÇOS INSUMOS'!Q53</f>
        <v>0</v>
      </c>
      <c r="Q282" s="155">
        <f>+Q68*'3. PREÇOS INSUMOS'!R53</f>
        <v>0</v>
      </c>
      <c r="R282" s="155">
        <f>+R68*'3. PREÇOS INSUMOS'!S53</f>
        <v>0</v>
      </c>
      <c r="S282" s="155">
        <f>+S68*'3. PREÇOS INSUMOS'!T53</f>
        <v>0</v>
      </c>
      <c r="T282" s="156">
        <f>+T68*'3. PREÇOS INSUMOS'!U53</f>
        <v>0</v>
      </c>
      <c r="U282" s="156">
        <f>+U68*'3. PREÇOS INSUMOS'!U53</f>
        <v>0</v>
      </c>
    </row>
    <row r="283" spans="1:21">
      <c r="C283" s="110">
        <v>3</v>
      </c>
      <c r="D283" s="108" t="s">
        <v>91</v>
      </c>
      <c r="E283" s="155">
        <f>+E69*'3. PREÇOS INSUMOS'!G54</f>
        <v>0</v>
      </c>
      <c r="F283" s="155">
        <f>+F69*'3. PREÇOS INSUMOS'!G54</f>
        <v>0</v>
      </c>
      <c r="G283" s="155">
        <f>+G69*'3. PREÇOS INSUMOS'!H54</f>
        <v>0</v>
      </c>
      <c r="H283" s="155">
        <f>+H69*'3. PREÇOS INSUMOS'!I54</f>
        <v>0</v>
      </c>
      <c r="I283" s="155">
        <f>+I69*'3. PREÇOS INSUMOS'!J54</f>
        <v>0</v>
      </c>
      <c r="J283" s="155">
        <f>+J69*'3. PREÇOS INSUMOS'!K54</f>
        <v>0</v>
      </c>
      <c r="K283" s="155">
        <f>+K69*'3. PREÇOS INSUMOS'!L54</f>
        <v>0</v>
      </c>
      <c r="L283" s="155">
        <f>+L69*'3. PREÇOS INSUMOS'!M54</f>
        <v>0</v>
      </c>
      <c r="M283" s="155">
        <f>+M69*'3. PREÇOS INSUMOS'!N54</f>
        <v>0</v>
      </c>
      <c r="N283" s="155">
        <f>+N69*'3. PREÇOS INSUMOS'!O54</f>
        <v>0</v>
      </c>
      <c r="O283" s="155">
        <f>+O69*'3. PREÇOS INSUMOS'!P54</f>
        <v>0</v>
      </c>
      <c r="P283" s="155">
        <f>+P69*'3. PREÇOS INSUMOS'!Q54</f>
        <v>0</v>
      </c>
      <c r="Q283" s="155">
        <f>+Q69*'3. PREÇOS INSUMOS'!R54</f>
        <v>0</v>
      </c>
      <c r="R283" s="155">
        <f>+R69*'3. PREÇOS INSUMOS'!S54</f>
        <v>0</v>
      </c>
      <c r="S283" s="155">
        <f>+S69*'3. PREÇOS INSUMOS'!T54</f>
        <v>0</v>
      </c>
      <c r="T283" s="156">
        <f>+T69*'3. PREÇOS INSUMOS'!U54</f>
        <v>0</v>
      </c>
      <c r="U283" s="156">
        <f>+U69*'3. PREÇOS INSUMOS'!U54</f>
        <v>623150</v>
      </c>
    </row>
    <row r="284" spans="1:21">
      <c r="C284" s="110">
        <v>4</v>
      </c>
      <c r="D284" s="108" t="s">
        <v>92</v>
      </c>
      <c r="E284" s="155">
        <f>+E70*'3. PREÇOS INSUMOS'!G55</f>
        <v>0</v>
      </c>
      <c r="F284" s="155">
        <f>+F70*'3. PREÇOS INSUMOS'!G55</f>
        <v>0</v>
      </c>
      <c r="G284" s="155">
        <f>+G70*'3. PREÇOS INSUMOS'!H55</f>
        <v>0</v>
      </c>
      <c r="H284" s="155">
        <f>+H70*'3. PREÇOS INSUMOS'!I55</f>
        <v>0</v>
      </c>
      <c r="I284" s="155">
        <f>+I70*'3. PREÇOS INSUMOS'!J55</f>
        <v>0</v>
      </c>
      <c r="J284" s="155">
        <f>+J70*'3. PREÇOS INSUMOS'!K55</f>
        <v>0</v>
      </c>
      <c r="K284" s="155">
        <f>+K70*'3. PREÇOS INSUMOS'!L55</f>
        <v>0</v>
      </c>
      <c r="L284" s="155">
        <f>+L70*'3. PREÇOS INSUMOS'!M55</f>
        <v>0</v>
      </c>
      <c r="M284" s="155">
        <f>+M70*'3. PREÇOS INSUMOS'!N55</f>
        <v>0</v>
      </c>
      <c r="N284" s="155">
        <f>+N70*'3. PREÇOS INSUMOS'!O55</f>
        <v>0</v>
      </c>
      <c r="O284" s="155">
        <f>+O70*'3. PREÇOS INSUMOS'!P55</f>
        <v>0</v>
      </c>
      <c r="P284" s="155">
        <f>+P70*'3. PREÇOS INSUMOS'!Q55</f>
        <v>0</v>
      </c>
      <c r="Q284" s="155">
        <f>+Q70*'3. PREÇOS INSUMOS'!R55</f>
        <v>0</v>
      </c>
      <c r="R284" s="155">
        <f>+R70*'3. PREÇOS INSUMOS'!S55</f>
        <v>0</v>
      </c>
      <c r="S284" s="155">
        <f>+S70*'3. PREÇOS INSUMOS'!T55</f>
        <v>0</v>
      </c>
      <c r="T284" s="156">
        <f>+T70*'3. PREÇOS INSUMOS'!U55</f>
        <v>0</v>
      </c>
      <c r="U284" s="156">
        <f>+U70*'3. PREÇOS INSUMOS'!U55</f>
        <v>0</v>
      </c>
    </row>
    <row r="285" spans="1:21">
      <c r="C285" s="110">
        <v>5</v>
      </c>
      <c r="D285" s="108" t="s">
        <v>93</v>
      </c>
      <c r="E285" s="155">
        <f>+E71*'3. PREÇOS INSUMOS'!G56</f>
        <v>0</v>
      </c>
      <c r="F285" s="155">
        <f>+F71*'3. PREÇOS INSUMOS'!G56</f>
        <v>0</v>
      </c>
      <c r="G285" s="155">
        <f>+G71*'3. PREÇOS INSUMOS'!H56</f>
        <v>0</v>
      </c>
      <c r="H285" s="155">
        <f>+H71*'3. PREÇOS INSUMOS'!I56</f>
        <v>0</v>
      </c>
      <c r="I285" s="155">
        <f>+I71*'3. PREÇOS INSUMOS'!J56</f>
        <v>0</v>
      </c>
      <c r="J285" s="155">
        <f>+J71*'3. PREÇOS INSUMOS'!K56</f>
        <v>0</v>
      </c>
      <c r="K285" s="155">
        <f>+K71*'3. PREÇOS INSUMOS'!L56</f>
        <v>0</v>
      </c>
      <c r="L285" s="155">
        <f>+L71*'3. PREÇOS INSUMOS'!M56</f>
        <v>0</v>
      </c>
      <c r="M285" s="155">
        <f>+M71*'3. PREÇOS INSUMOS'!N56</f>
        <v>0</v>
      </c>
      <c r="N285" s="155">
        <f>+N71*'3. PREÇOS INSUMOS'!O56</f>
        <v>0</v>
      </c>
      <c r="O285" s="155">
        <f>+O71*'3. PREÇOS INSUMOS'!P56</f>
        <v>0</v>
      </c>
      <c r="P285" s="155">
        <f>+P71*'3. PREÇOS INSUMOS'!Q56</f>
        <v>0</v>
      </c>
      <c r="Q285" s="155">
        <f>+Q71*'3. PREÇOS INSUMOS'!R56</f>
        <v>0</v>
      </c>
      <c r="R285" s="155">
        <f>+R71*'3. PREÇOS INSUMOS'!S56</f>
        <v>0</v>
      </c>
      <c r="S285" s="155">
        <f>+S71*'3. PREÇOS INSUMOS'!T56</f>
        <v>0</v>
      </c>
      <c r="T285" s="156">
        <f>+T71*'3. PREÇOS INSUMOS'!U56</f>
        <v>0</v>
      </c>
      <c r="U285" s="156">
        <f>+U71*'3. PREÇOS INSUMOS'!U56</f>
        <v>0</v>
      </c>
    </row>
    <row r="286" spans="1:21">
      <c r="C286" s="110">
        <v>6</v>
      </c>
      <c r="D286" s="108" t="s">
        <v>94</v>
      </c>
      <c r="E286" s="155">
        <f>+E72*'3. PREÇOS INSUMOS'!G57</f>
        <v>0</v>
      </c>
      <c r="F286" s="155">
        <f>+F72*'3. PREÇOS INSUMOS'!G57</f>
        <v>0</v>
      </c>
      <c r="G286" s="155">
        <f>+G72*'3. PREÇOS INSUMOS'!H57</f>
        <v>0</v>
      </c>
      <c r="H286" s="155">
        <f>+H72*'3. PREÇOS INSUMOS'!I57</f>
        <v>0</v>
      </c>
      <c r="I286" s="155">
        <f>+I72*'3. PREÇOS INSUMOS'!J57</f>
        <v>0</v>
      </c>
      <c r="J286" s="155">
        <f>+J72*'3. PREÇOS INSUMOS'!K57</f>
        <v>0</v>
      </c>
      <c r="K286" s="155">
        <f>+K72*'3. PREÇOS INSUMOS'!L57</f>
        <v>0</v>
      </c>
      <c r="L286" s="155">
        <f>+L72*'3. PREÇOS INSUMOS'!M57</f>
        <v>0</v>
      </c>
      <c r="M286" s="155">
        <f>+M72*'3. PREÇOS INSUMOS'!N57</f>
        <v>0</v>
      </c>
      <c r="N286" s="155">
        <f>+N72*'3. PREÇOS INSUMOS'!O57</f>
        <v>0</v>
      </c>
      <c r="O286" s="155">
        <f>+O72*'3. PREÇOS INSUMOS'!P57</f>
        <v>0</v>
      </c>
      <c r="P286" s="155">
        <f>+P72*'3. PREÇOS INSUMOS'!Q57</f>
        <v>0</v>
      </c>
      <c r="Q286" s="155">
        <f>+Q72*'3. PREÇOS INSUMOS'!R57</f>
        <v>0</v>
      </c>
      <c r="R286" s="155">
        <f>+R72*'3. PREÇOS INSUMOS'!S57</f>
        <v>0</v>
      </c>
      <c r="S286" s="155">
        <f>+S72*'3. PREÇOS INSUMOS'!T57</f>
        <v>0</v>
      </c>
      <c r="T286" s="156">
        <f>+T72*'3. PREÇOS INSUMOS'!U57</f>
        <v>0</v>
      </c>
      <c r="U286" s="156">
        <f>+U72*'3. PREÇOS INSUMOS'!U57</f>
        <v>0</v>
      </c>
    </row>
    <row r="287" spans="1:21">
      <c r="C287" s="110">
        <v>7</v>
      </c>
      <c r="D287" s="108" t="s">
        <v>95</v>
      </c>
      <c r="E287" s="155">
        <f>+E73*'3. PREÇOS INSUMOS'!G58</f>
        <v>0</v>
      </c>
      <c r="F287" s="155">
        <f>+F73*'3. PREÇOS INSUMOS'!G58</f>
        <v>0</v>
      </c>
      <c r="G287" s="155">
        <f>+G73*'3. PREÇOS INSUMOS'!H58</f>
        <v>0</v>
      </c>
      <c r="H287" s="155">
        <f>+H73*'3. PREÇOS INSUMOS'!I58</f>
        <v>0</v>
      </c>
      <c r="I287" s="155">
        <f>+I73*'3. PREÇOS INSUMOS'!J58</f>
        <v>0</v>
      </c>
      <c r="J287" s="155">
        <f>+J73*'3. PREÇOS INSUMOS'!K58</f>
        <v>0</v>
      </c>
      <c r="K287" s="155">
        <f>+K73*'3. PREÇOS INSUMOS'!L58</f>
        <v>0</v>
      </c>
      <c r="L287" s="155">
        <f>+L73*'3. PREÇOS INSUMOS'!M58</f>
        <v>0</v>
      </c>
      <c r="M287" s="155">
        <f>+M73*'3. PREÇOS INSUMOS'!N58</f>
        <v>0</v>
      </c>
      <c r="N287" s="155">
        <f>+N73*'3. PREÇOS INSUMOS'!O58</f>
        <v>0</v>
      </c>
      <c r="O287" s="155">
        <f>+O73*'3. PREÇOS INSUMOS'!P58</f>
        <v>0</v>
      </c>
      <c r="P287" s="155">
        <f>+P73*'3. PREÇOS INSUMOS'!Q58</f>
        <v>0</v>
      </c>
      <c r="Q287" s="155">
        <f>+Q73*'3. PREÇOS INSUMOS'!R58</f>
        <v>0</v>
      </c>
      <c r="R287" s="155">
        <f>+R73*'3. PREÇOS INSUMOS'!S58</f>
        <v>0</v>
      </c>
      <c r="S287" s="155">
        <f>+S73*'3. PREÇOS INSUMOS'!T58</f>
        <v>0</v>
      </c>
      <c r="T287" s="156">
        <f>+T73*'3. PREÇOS INSUMOS'!U58</f>
        <v>0</v>
      </c>
      <c r="U287" s="156">
        <f>+U73*'3. PREÇOS INSUMOS'!U58</f>
        <v>0</v>
      </c>
    </row>
    <row r="288" spans="1:21">
      <c r="C288" s="110">
        <v>8</v>
      </c>
      <c r="D288" s="108" t="s">
        <v>96</v>
      </c>
      <c r="E288" s="155">
        <f>+E74*'3. PREÇOS INSUMOS'!G59</f>
        <v>0</v>
      </c>
      <c r="F288" s="155">
        <f>+F74*'3. PREÇOS INSUMOS'!G59</f>
        <v>0</v>
      </c>
      <c r="G288" s="155">
        <f>+G74*'3. PREÇOS INSUMOS'!H59</f>
        <v>0</v>
      </c>
      <c r="H288" s="155">
        <f>+H74*'3. PREÇOS INSUMOS'!I59</f>
        <v>0</v>
      </c>
      <c r="I288" s="155">
        <f>+I74*'3. PREÇOS INSUMOS'!J59</f>
        <v>0</v>
      </c>
      <c r="J288" s="155">
        <f>+J74*'3. PREÇOS INSUMOS'!K59</f>
        <v>0</v>
      </c>
      <c r="K288" s="155">
        <f>+K74*'3. PREÇOS INSUMOS'!L59</f>
        <v>0</v>
      </c>
      <c r="L288" s="155">
        <f>+L74*'3. PREÇOS INSUMOS'!M59</f>
        <v>0</v>
      </c>
      <c r="M288" s="155">
        <f>+M74*'3. PREÇOS INSUMOS'!N59</f>
        <v>0</v>
      </c>
      <c r="N288" s="155">
        <f>+N74*'3. PREÇOS INSUMOS'!O59</f>
        <v>0</v>
      </c>
      <c r="O288" s="155">
        <f>+O74*'3. PREÇOS INSUMOS'!P59</f>
        <v>0</v>
      </c>
      <c r="P288" s="155">
        <f>+P74*'3. PREÇOS INSUMOS'!Q59</f>
        <v>0</v>
      </c>
      <c r="Q288" s="155">
        <f>+Q74*'3. PREÇOS INSUMOS'!R59</f>
        <v>0</v>
      </c>
      <c r="R288" s="155">
        <f>+R74*'3. PREÇOS INSUMOS'!S59</f>
        <v>185399.99999999997</v>
      </c>
      <c r="S288" s="155">
        <f>+S74*'3. PREÇOS INSUMOS'!T59</f>
        <v>0</v>
      </c>
      <c r="T288" s="156">
        <f>+T74*'3. PREÇOS INSUMOS'!U59</f>
        <v>0</v>
      </c>
      <c r="U288" s="156">
        <f>+U74*'3. PREÇOS INSUMOS'!U59</f>
        <v>0</v>
      </c>
    </row>
    <row r="289" spans="1:21">
      <c r="C289" s="110">
        <v>9</v>
      </c>
      <c r="D289" s="108" t="s">
        <v>97</v>
      </c>
      <c r="E289" s="155">
        <f>+E75*'3. PREÇOS INSUMOS'!G60</f>
        <v>0</v>
      </c>
      <c r="F289" s="155">
        <f>+F75*'3. PREÇOS INSUMOS'!G60</f>
        <v>0</v>
      </c>
      <c r="G289" s="155">
        <f>+G75*'3. PREÇOS INSUMOS'!H60</f>
        <v>0</v>
      </c>
      <c r="H289" s="155">
        <f>+H75*'3. PREÇOS INSUMOS'!I60</f>
        <v>0</v>
      </c>
      <c r="I289" s="155">
        <f>+I75*'3. PREÇOS INSUMOS'!J60</f>
        <v>0</v>
      </c>
      <c r="J289" s="155">
        <f>+J75*'3. PREÇOS INSUMOS'!K60</f>
        <v>0</v>
      </c>
      <c r="K289" s="155">
        <f>+K75*'3. PREÇOS INSUMOS'!L60</f>
        <v>0</v>
      </c>
      <c r="L289" s="155">
        <f>+L75*'3. PREÇOS INSUMOS'!M60</f>
        <v>0</v>
      </c>
      <c r="M289" s="155">
        <f>+M75*'3. PREÇOS INSUMOS'!N60</f>
        <v>0</v>
      </c>
      <c r="N289" s="155">
        <f>+N75*'3. PREÇOS INSUMOS'!O60</f>
        <v>0</v>
      </c>
      <c r="O289" s="155">
        <f>+O75*'3. PREÇOS INSUMOS'!P60</f>
        <v>0</v>
      </c>
      <c r="P289" s="155">
        <f>+P75*'3. PREÇOS INSUMOS'!Q60</f>
        <v>0</v>
      </c>
      <c r="Q289" s="155">
        <f>+Q75*'3. PREÇOS INSUMOS'!R60</f>
        <v>0</v>
      </c>
      <c r="R289" s="155">
        <f>+R75*'3. PREÇOS INSUMOS'!S60</f>
        <v>0</v>
      </c>
      <c r="S289" s="155">
        <f>+S75*'3. PREÇOS INSUMOS'!T60</f>
        <v>0</v>
      </c>
      <c r="T289" s="156">
        <f>+T75*'3. PREÇOS INSUMOS'!U60</f>
        <v>0</v>
      </c>
      <c r="U289" s="156">
        <f>+U75*'3. PREÇOS INSUMOS'!U60</f>
        <v>0</v>
      </c>
    </row>
    <row r="290" spans="1:21">
      <c r="C290" s="110">
        <v>10</v>
      </c>
      <c r="D290" s="109" t="s">
        <v>98</v>
      </c>
      <c r="E290" s="155">
        <f>+E76*'3. PREÇOS INSUMOS'!G61</f>
        <v>0</v>
      </c>
      <c r="F290" s="155">
        <f>+F76*'3. PREÇOS INSUMOS'!G61</f>
        <v>0</v>
      </c>
      <c r="G290" s="155">
        <f>+G76*'3. PREÇOS INSUMOS'!H61</f>
        <v>0</v>
      </c>
      <c r="H290" s="155">
        <f>+H76*'3. PREÇOS INSUMOS'!I61</f>
        <v>0</v>
      </c>
      <c r="I290" s="155">
        <f>+I76*'3. PREÇOS INSUMOS'!J61</f>
        <v>0</v>
      </c>
      <c r="J290" s="155">
        <f>+J76*'3. PREÇOS INSUMOS'!K61</f>
        <v>0</v>
      </c>
      <c r="K290" s="155">
        <f>+K76*'3. PREÇOS INSUMOS'!L61</f>
        <v>0</v>
      </c>
      <c r="L290" s="155">
        <f>+L76*'3. PREÇOS INSUMOS'!M61</f>
        <v>0</v>
      </c>
      <c r="M290" s="155">
        <f>+M76*'3. PREÇOS INSUMOS'!N61</f>
        <v>0</v>
      </c>
      <c r="N290" s="155">
        <f>+N76*'3. PREÇOS INSUMOS'!O61</f>
        <v>0</v>
      </c>
      <c r="O290" s="155">
        <f>+O76*'3. PREÇOS INSUMOS'!P61</f>
        <v>0</v>
      </c>
      <c r="P290" s="155">
        <f>+P76*'3. PREÇOS INSUMOS'!Q61</f>
        <v>0</v>
      </c>
      <c r="Q290" s="155">
        <f>+Q76*'3. PREÇOS INSUMOS'!R61</f>
        <v>0</v>
      </c>
      <c r="R290" s="155">
        <f>+R76*'3. PREÇOS INSUMOS'!S61</f>
        <v>0</v>
      </c>
      <c r="S290" s="155">
        <f>+S76*'3. PREÇOS INSUMOS'!T61</f>
        <v>0</v>
      </c>
      <c r="T290" s="156">
        <f>+T76*'3. PREÇOS INSUMOS'!U61</f>
        <v>0</v>
      </c>
      <c r="U290" s="156">
        <f>+U76*'3. PREÇOS INSUMOS'!U61</f>
        <v>0</v>
      </c>
    </row>
    <row r="291" spans="1:21">
      <c r="A291" s="4"/>
      <c r="B291" s="4"/>
      <c r="C291" s="111" t="s">
        <v>88</v>
      </c>
      <c r="D291" s="112"/>
      <c r="E291" s="157">
        <f>SUM(E280:E290)</f>
        <v>0</v>
      </c>
      <c r="F291" s="157">
        <f t="shared" ref="F291:U291" si="157">SUM(F280:F290)</f>
        <v>0</v>
      </c>
      <c r="G291" s="157">
        <f t="shared" si="157"/>
        <v>0</v>
      </c>
      <c r="H291" s="157">
        <f t="shared" si="157"/>
        <v>0</v>
      </c>
      <c r="I291" s="157">
        <f t="shared" si="157"/>
        <v>0</v>
      </c>
      <c r="J291" s="157">
        <f t="shared" si="157"/>
        <v>0</v>
      </c>
      <c r="K291" s="157">
        <f t="shared" si="157"/>
        <v>0</v>
      </c>
      <c r="L291" s="157">
        <f t="shared" si="157"/>
        <v>0</v>
      </c>
      <c r="M291" s="157">
        <f t="shared" si="157"/>
        <v>0</v>
      </c>
      <c r="N291" s="157">
        <f t="shared" si="157"/>
        <v>0</v>
      </c>
      <c r="O291" s="157">
        <f t="shared" si="157"/>
        <v>0</v>
      </c>
      <c r="P291" s="157">
        <f t="shared" si="157"/>
        <v>0</v>
      </c>
      <c r="Q291" s="157">
        <f t="shared" si="157"/>
        <v>0</v>
      </c>
      <c r="R291" s="157">
        <f t="shared" si="157"/>
        <v>185399.99999999997</v>
      </c>
      <c r="S291" s="157">
        <f t="shared" si="157"/>
        <v>0</v>
      </c>
      <c r="T291" s="158">
        <f t="shared" si="157"/>
        <v>0</v>
      </c>
      <c r="U291" s="158">
        <f t="shared" si="157"/>
        <v>623150</v>
      </c>
    </row>
    <row r="292" spans="1:21" s="4" customFormat="1">
      <c r="A292" s="2"/>
      <c r="B292" s="2"/>
      <c r="C292" s="2"/>
      <c r="D292" s="2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2"/>
    </row>
    <row r="293" spans="1:21" s="4" customFormat="1" ht="15.75">
      <c r="A293" s="2">
        <v>2</v>
      </c>
      <c r="B293" s="2"/>
      <c r="C293" s="718" t="str">
        <f>"7.2.2.2 - "&amp;VLOOKUP(A293,TIPOLOGIA!$D$10:$E$12,2,0)</f>
        <v>7.2.2.2 - CONVENCIONAL</v>
      </c>
      <c r="D293" s="718"/>
      <c r="E293" s="718"/>
      <c r="F293" s="718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2"/>
    </row>
    <row r="294" spans="1:21" ht="18" customHeight="1">
      <c r="C294" s="705" t="s">
        <v>86</v>
      </c>
      <c r="D294" s="719"/>
      <c r="E294" s="105" t="s">
        <v>99</v>
      </c>
      <c r="F294" s="106">
        <v>1</v>
      </c>
      <c r="G294" s="106">
        <f t="shared" ref="G294:T294" si="158">+F294+1</f>
        <v>2</v>
      </c>
      <c r="H294" s="106">
        <f t="shared" si="158"/>
        <v>3</v>
      </c>
      <c r="I294" s="106">
        <f t="shared" si="158"/>
        <v>4</v>
      </c>
      <c r="J294" s="106">
        <f t="shared" si="158"/>
        <v>5</v>
      </c>
      <c r="K294" s="106">
        <f t="shared" si="158"/>
        <v>6</v>
      </c>
      <c r="L294" s="106">
        <f t="shared" si="158"/>
        <v>7</v>
      </c>
      <c r="M294" s="106">
        <f t="shared" si="158"/>
        <v>8</v>
      </c>
      <c r="N294" s="106">
        <f t="shared" si="158"/>
        <v>9</v>
      </c>
      <c r="O294" s="106">
        <f t="shared" si="158"/>
        <v>10</v>
      </c>
      <c r="P294" s="106">
        <f t="shared" si="158"/>
        <v>11</v>
      </c>
      <c r="Q294" s="106">
        <f t="shared" si="158"/>
        <v>12</v>
      </c>
      <c r="R294" s="106">
        <f t="shared" si="158"/>
        <v>13</v>
      </c>
      <c r="S294" s="106">
        <f t="shared" si="158"/>
        <v>14</v>
      </c>
      <c r="T294" s="107">
        <f t="shared" si="158"/>
        <v>15</v>
      </c>
      <c r="U294" s="107" t="s">
        <v>222</v>
      </c>
    </row>
    <row r="295" spans="1:21">
      <c r="C295" s="110">
        <v>0</v>
      </c>
      <c r="D295" s="108" t="s">
        <v>87</v>
      </c>
      <c r="E295" s="155">
        <f>+E82*'3. PREÇOS INSUMOS'!G66</f>
        <v>0</v>
      </c>
      <c r="F295" s="155">
        <f>+F82*'3. PREÇOS INSUMOS'!G66</f>
        <v>0</v>
      </c>
      <c r="G295" s="155">
        <f>+G82*'3. PREÇOS INSUMOS'!H66</f>
        <v>0</v>
      </c>
      <c r="H295" s="155">
        <f>+H82*'3. PREÇOS INSUMOS'!I66</f>
        <v>0</v>
      </c>
      <c r="I295" s="155">
        <f>+I82*'3. PREÇOS INSUMOS'!J66</f>
        <v>0</v>
      </c>
      <c r="J295" s="155">
        <f>+J82*'3. PREÇOS INSUMOS'!K66</f>
        <v>0</v>
      </c>
      <c r="K295" s="155">
        <f>+K82*'3. PREÇOS INSUMOS'!L66</f>
        <v>0</v>
      </c>
      <c r="L295" s="155">
        <f>+L82*'3. PREÇOS INSUMOS'!M66</f>
        <v>0</v>
      </c>
      <c r="M295" s="155">
        <f>+M82*'3. PREÇOS INSUMOS'!N66</f>
        <v>0</v>
      </c>
      <c r="N295" s="155">
        <f>+N82*'3. PREÇOS INSUMOS'!O66</f>
        <v>0</v>
      </c>
      <c r="O295" s="155">
        <f>+O82*'3. PREÇOS INSUMOS'!P66</f>
        <v>0</v>
      </c>
      <c r="P295" s="155">
        <f>+P82*'3. PREÇOS INSUMOS'!Q66</f>
        <v>0</v>
      </c>
      <c r="Q295" s="155">
        <f>+Q82*'3. PREÇOS INSUMOS'!R66</f>
        <v>0</v>
      </c>
      <c r="R295" s="155">
        <f>+R82*'3. PREÇOS INSUMOS'!S66</f>
        <v>0</v>
      </c>
      <c r="S295" s="155">
        <f>+S82*'3. PREÇOS INSUMOS'!T66</f>
        <v>0</v>
      </c>
      <c r="T295" s="156">
        <f>+T82*'3. PREÇOS INSUMOS'!U66</f>
        <v>0</v>
      </c>
      <c r="U295" s="156">
        <f>+U82*'3. PREÇOS INSUMOS'!U66</f>
        <v>0</v>
      </c>
    </row>
    <row r="296" spans="1:21" ht="18" customHeight="1">
      <c r="C296" s="110">
        <v>1</v>
      </c>
      <c r="D296" s="108" t="s">
        <v>89</v>
      </c>
      <c r="E296" s="155">
        <f>+E83*'3. PREÇOS INSUMOS'!G67</f>
        <v>0</v>
      </c>
      <c r="F296" s="155">
        <f>+F83*'3. PREÇOS INSUMOS'!G67</f>
        <v>0</v>
      </c>
      <c r="G296" s="155">
        <f>+G83*'3. PREÇOS INSUMOS'!H67</f>
        <v>0</v>
      </c>
      <c r="H296" s="155">
        <f>+H83*'3. PREÇOS INSUMOS'!I67</f>
        <v>0</v>
      </c>
      <c r="I296" s="155">
        <f>+I83*'3. PREÇOS INSUMOS'!J67</f>
        <v>0</v>
      </c>
      <c r="J296" s="155">
        <f>+J83*'3. PREÇOS INSUMOS'!K67</f>
        <v>0</v>
      </c>
      <c r="K296" s="155">
        <f>+K83*'3. PREÇOS INSUMOS'!L67</f>
        <v>0</v>
      </c>
      <c r="L296" s="155">
        <f>+L83*'3. PREÇOS INSUMOS'!M67</f>
        <v>0</v>
      </c>
      <c r="M296" s="155">
        <f>+M83*'3. PREÇOS INSUMOS'!N67</f>
        <v>0</v>
      </c>
      <c r="N296" s="155">
        <f>+N83*'3. PREÇOS INSUMOS'!O67</f>
        <v>0</v>
      </c>
      <c r="O296" s="155">
        <f>+O83*'3. PREÇOS INSUMOS'!P67</f>
        <v>0</v>
      </c>
      <c r="P296" s="155">
        <f>+P83*'3. PREÇOS INSUMOS'!Q67</f>
        <v>0</v>
      </c>
      <c r="Q296" s="155">
        <f>+Q83*'3. PREÇOS INSUMOS'!R67</f>
        <v>0</v>
      </c>
      <c r="R296" s="155">
        <f>+R83*'3. PREÇOS INSUMOS'!S67</f>
        <v>0</v>
      </c>
      <c r="S296" s="155">
        <f>+S83*'3. PREÇOS INSUMOS'!T67</f>
        <v>0</v>
      </c>
      <c r="T296" s="156">
        <f>+T83*'3. PREÇOS INSUMOS'!U67</f>
        <v>0</v>
      </c>
      <c r="U296" s="156">
        <f>+U83*'3. PREÇOS INSUMOS'!U67</f>
        <v>0</v>
      </c>
    </row>
    <row r="297" spans="1:21">
      <c r="C297" s="110">
        <v>2</v>
      </c>
      <c r="D297" s="108" t="s">
        <v>90</v>
      </c>
      <c r="E297" s="155">
        <f>+E84*'3. PREÇOS INSUMOS'!G68</f>
        <v>0</v>
      </c>
      <c r="F297" s="155">
        <f>+F84*'3. PREÇOS INSUMOS'!G68</f>
        <v>0</v>
      </c>
      <c r="G297" s="155">
        <f>+G84*'3. PREÇOS INSUMOS'!H68</f>
        <v>0</v>
      </c>
      <c r="H297" s="155">
        <f>+H84*'3. PREÇOS INSUMOS'!I68</f>
        <v>0</v>
      </c>
      <c r="I297" s="155">
        <f>+I84*'3. PREÇOS INSUMOS'!J68</f>
        <v>0</v>
      </c>
      <c r="J297" s="155">
        <f>+J84*'3. PREÇOS INSUMOS'!K68</f>
        <v>0</v>
      </c>
      <c r="K297" s="155">
        <f>+K84*'3. PREÇOS INSUMOS'!L68</f>
        <v>0</v>
      </c>
      <c r="L297" s="155">
        <f>+L84*'3. PREÇOS INSUMOS'!M68</f>
        <v>0</v>
      </c>
      <c r="M297" s="155">
        <f>+M84*'3. PREÇOS INSUMOS'!N68</f>
        <v>0</v>
      </c>
      <c r="N297" s="155">
        <f>+N84*'3. PREÇOS INSUMOS'!O68</f>
        <v>0</v>
      </c>
      <c r="O297" s="155">
        <f>+O84*'3. PREÇOS INSUMOS'!P68</f>
        <v>0</v>
      </c>
      <c r="P297" s="155">
        <f>+P84*'3. PREÇOS INSUMOS'!Q68</f>
        <v>0</v>
      </c>
      <c r="Q297" s="155">
        <f>+Q84*'3. PREÇOS INSUMOS'!R68</f>
        <v>0</v>
      </c>
      <c r="R297" s="155">
        <f>+R84*'3. PREÇOS INSUMOS'!S68</f>
        <v>0</v>
      </c>
      <c r="S297" s="155">
        <f>+S84*'3. PREÇOS INSUMOS'!T68</f>
        <v>0</v>
      </c>
      <c r="T297" s="156">
        <f>+T84*'3. PREÇOS INSUMOS'!U68</f>
        <v>0</v>
      </c>
      <c r="U297" s="156">
        <f>+U84*'3. PREÇOS INSUMOS'!U68</f>
        <v>0</v>
      </c>
    </row>
    <row r="298" spans="1:21">
      <c r="C298" s="110">
        <v>3</v>
      </c>
      <c r="D298" s="108" t="s">
        <v>91</v>
      </c>
      <c r="E298" s="155">
        <f>+E85*'3. PREÇOS INSUMOS'!G69</f>
        <v>0</v>
      </c>
      <c r="F298" s="155">
        <f>+F85*'3. PREÇOS INSUMOS'!G69</f>
        <v>0</v>
      </c>
      <c r="G298" s="155">
        <f>+G85*'3. PREÇOS INSUMOS'!H69</f>
        <v>0</v>
      </c>
      <c r="H298" s="155">
        <f>+H85*'3. PREÇOS INSUMOS'!I69</f>
        <v>0</v>
      </c>
      <c r="I298" s="155">
        <f>+I85*'3. PREÇOS INSUMOS'!J69</f>
        <v>0</v>
      </c>
      <c r="J298" s="155">
        <f>+J85*'3. PREÇOS INSUMOS'!K69</f>
        <v>0</v>
      </c>
      <c r="K298" s="155">
        <f>+K85*'3. PREÇOS INSUMOS'!L69</f>
        <v>0</v>
      </c>
      <c r="L298" s="155">
        <f>+L85*'3. PREÇOS INSUMOS'!M69</f>
        <v>0</v>
      </c>
      <c r="M298" s="155">
        <f>+M85*'3. PREÇOS INSUMOS'!N69</f>
        <v>0</v>
      </c>
      <c r="N298" s="155">
        <f>+N85*'3. PREÇOS INSUMOS'!O69</f>
        <v>0</v>
      </c>
      <c r="O298" s="155">
        <f>+O85*'3. PREÇOS INSUMOS'!P69</f>
        <v>0</v>
      </c>
      <c r="P298" s="155">
        <f>+P85*'3. PREÇOS INSUMOS'!Q69</f>
        <v>0</v>
      </c>
      <c r="Q298" s="155">
        <f>+Q85*'3. PREÇOS INSUMOS'!R69</f>
        <v>0</v>
      </c>
      <c r="R298" s="155">
        <f>+R85*'3. PREÇOS INSUMOS'!S69</f>
        <v>0</v>
      </c>
      <c r="S298" s="155">
        <f>+S85*'3. PREÇOS INSUMOS'!T69</f>
        <v>0</v>
      </c>
      <c r="T298" s="156">
        <f>+T85*'3. PREÇOS INSUMOS'!U69</f>
        <v>0</v>
      </c>
      <c r="U298" s="156">
        <f>+U85*'3. PREÇOS INSUMOS'!U69</f>
        <v>552900</v>
      </c>
    </row>
    <row r="299" spans="1:21">
      <c r="C299" s="110">
        <v>4</v>
      </c>
      <c r="D299" s="108" t="s">
        <v>92</v>
      </c>
      <c r="E299" s="155">
        <f>+E86*'3. PREÇOS INSUMOS'!G70</f>
        <v>0</v>
      </c>
      <c r="F299" s="155">
        <f>+F86*'3. PREÇOS INSUMOS'!G70</f>
        <v>0</v>
      </c>
      <c r="G299" s="155">
        <f>+G86*'3. PREÇOS INSUMOS'!H70</f>
        <v>0</v>
      </c>
      <c r="H299" s="155">
        <f>+H86*'3. PREÇOS INSUMOS'!I70</f>
        <v>0</v>
      </c>
      <c r="I299" s="155">
        <f>+I86*'3. PREÇOS INSUMOS'!J70</f>
        <v>0</v>
      </c>
      <c r="J299" s="155">
        <f>+J86*'3. PREÇOS INSUMOS'!K70</f>
        <v>0</v>
      </c>
      <c r="K299" s="155">
        <f>+K86*'3. PREÇOS INSUMOS'!L70</f>
        <v>0</v>
      </c>
      <c r="L299" s="155">
        <f>+L86*'3. PREÇOS INSUMOS'!M70</f>
        <v>0</v>
      </c>
      <c r="M299" s="155">
        <f>+M86*'3. PREÇOS INSUMOS'!N70</f>
        <v>0</v>
      </c>
      <c r="N299" s="155">
        <f>+N86*'3. PREÇOS INSUMOS'!O70</f>
        <v>0</v>
      </c>
      <c r="O299" s="155">
        <f>+O86*'3. PREÇOS INSUMOS'!P70</f>
        <v>0</v>
      </c>
      <c r="P299" s="155">
        <f>+P86*'3. PREÇOS INSUMOS'!Q70</f>
        <v>0</v>
      </c>
      <c r="Q299" s="155">
        <f>+Q86*'3. PREÇOS INSUMOS'!R70</f>
        <v>0</v>
      </c>
      <c r="R299" s="155">
        <f>+R86*'3. PREÇOS INSUMOS'!S70</f>
        <v>0</v>
      </c>
      <c r="S299" s="155">
        <f>+S86*'3. PREÇOS INSUMOS'!T70</f>
        <v>0</v>
      </c>
      <c r="T299" s="156">
        <f>+T86*'3. PREÇOS INSUMOS'!U70</f>
        <v>0</v>
      </c>
      <c r="U299" s="156">
        <f>+U86*'3. PREÇOS INSUMOS'!U70</f>
        <v>271600</v>
      </c>
    </row>
    <row r="300" spans="1:21">
      <c r="C300" s="110">
        <v>5</v>
      </c>
      <c r="D300" s="108" t="s">
        <v>93</v>
      </c>
      <c r="E300" s="155">
        <f>+E87*'3. PREÇOS INSUMOS'!G71</f>
        <v>0</v>
      </c>
      <c r="F300" s="155">
        <f>+F87*'3. PREÇOS INSUMOS'!G71</f>
        <v>0</v>
      </c>
      <c r="G300" s="155">
        <f>+G87*'3. PREÇOS INSUMOS'!H71</f>
        <v>0</v>
      </c>
      <c r="H300" s="155">
        <f>+H87*'3. PREÇOS INSUMOS'!I71</f>
        <v>0</v>
      </c>
      <c r="I300" s="155">
        <f>+I87*'3. PREÇOS INSUMOS'!J71</f>
        <v>0</v>
      </c>
      <c r="J300" s="155">
        <f>+J87*'3. PREÇOS INSUMOS'!K71</f>
        <v>0</v>
      </c>
      <c r="K300" s="155">
        <f>+K87*'3. PREÇOS INSUMOS'!L71</f>
        <v>0</v>
      </c>
      <c r="L300" s="155">
        <f>+L87*'3. PREÇOS INSUMOS'!M71</f>
        <v>0</v>
      </c>
      <c r="M300" s="155">
        <f>+M87*'3. PREÇOS INSUMOS'!N71</f>
        <v>0</v>
      </c>
      <c r="N300" s="155">
        <f>+N87*'3. PREÇOS INSUMOS'!O71</f>
        <v>0</v>
      </c>
      <c r="O300" s="155">
        <f>+O87*'3. PREÇOS INSUMOS'!P71</f>
        <v>0</v>
      </c>
      <c r="P300" s="155">
        <f>+P87*'3. PREÇOS INSUMOS'!Q71</f>
        <v>0</v>
      </c>
      <c r="Q300" s="155">
        <f>+Q87*'3. PREÇOS INSUMOS'!R71</f>
        <v>0</v>
      </c>
      <c r="R300" s="155">
        <f>+R87*'3. PREÇOS INSUMOS'!S71</f>
        <v>0</v>
      </c>
      <c r="S300" s="155">
        <f>+S87*'3. PREÇOS INSUMOS'!T71</f>
        <v>0</v>
      </c>
      <c r="T300" s="156">
        <f>+T87*'3. PREÇOS INSUMOS'!U71</f>
        <v>0</v>
      </c>
      <c r="U300" s="156">
        <f>+U87*'3. PREÇOS INSUMOS'!U71</f>
        <v>291000</v>
      </c>
    </row>
    <row r="301" spans="1:21">
      <c r="C301" s="110">
        <v>6</v>
      </c>
      <c r="D301" s="108" t="s">
        <v>94</v>
      </c>
      <c r="E301" s="155">
        <f>+E88*'3. PREÇOS INSUMOS'!G72</f>
        <v>0</v>
      </c>
      <c r="F301" s="155">
        <f>+F88*'3. PREÇOS INSUMOS'!G72</f>
        <v>0</v>
      </c>
      <c r="G301" s="155">
        <f>+G88*'3. PREÇOS INSUMOS'!H72</f>
        <v>203700</v>
      </c>
      <c r="H301" s="155">
        <f>+H88*'3. PREÇOS INSUMOS'!I72</f>
        <v>0</v>
      </c>
      <c r="I301" s="155">
        <f>+I88*'3. PREÇOS INSUMOS'!J72</f>
        <v>0</v>
      </c>
      <c r="J301" s="155">
        <f>+J88*'3. PREÇOS INSUMOS'!K72</f>
        <v>0</v>
      </c>
      <c r="K301" s="155">
        <f>+K88*'3. PREÇOS INSUMOS'!L72</f>
        <v>0</v>
      </c>
      <c r="L301" s="155">
        <f>+L88*'3. PREÇOS INSUMOS'!M72</f>
        <v>0</v>
      </c>
      <c r="M301" s="155">
        <f>+M88*'3. PREÇOS INSUMOS'!N72</f>
        <v>0</v>
      </c>
      <c r="N301" s="155">
        <f>+N88*'3. PREÇOS INSUMOS'!O72</f>
        <v>0</v>
      </c>
      <c r="O301" s="155">
        <f>+O88*'3. PREÇOS INSUMOS'!P72</f>
        <v>0</v>
      </c>
      <c r="P301" s="155">
        <f>+P88*'3. PREÇOS INSUMOS'!Q72</f>
        <v>0</v>
      </c>
      <c r="Q301" s="155">
        <f>+Q88*'3. PREÇOS INSUMOS'!R72</f>
        <v>0</v>
      </c>
      <c r="R301" s="155">
        <f>+R88*'3. PREÇOS INSUMOS'!S72</f>
        <v>0</v>
      </c>
      <c r="S301" s="155">
        <f>+S88*'3. PREÇOS INSUMOS'!T72</f>
        <v>0</v>
      </c>
      <c r="T301" s="156">
        <f>+T88*'3. PREÇOS INSUMOS'!U72</f>
        <v>0</v>
      </c>
      <c r="U301" s="156">
        <f>+U88*'3. PREÇOS INSUMOS'!U72</f>
        <v>67900</v>
      </c>
    </row>
    <row r="302" spans="1:21">
      <c r="C302" s="110">
        <v>7</v>
      </c>
      <c r="D302" s="108" t="s">
        <v>95</v>
      </c>
      <c r="E302" s="155">
        <f>+E89*'3. PREÇOS INSUMOS'!G73</f>
        <v>0</v>
      </c>
      <c r="F302" s="155">
        <f>+F89*'3. PREÇOS INSUMOS'!G73</f>
        <v>0</v>
      </c>
      <c r="G302" s="155">
        <f>+G89*'3. PREÇOS INSUMOS'!H73</f>
        <v>0</v>
      </c>
      <c r="H302" s="155">
        <f>+H89*'3. PREÇOS INSUMOS'!I73</f>
        <v>97000</v>
      </c>
      <c r="I302" s="155">
        <f>+I89*'3. PREÇOS INSUMOS'!J73</f>
        <v>0</v>
      </c>
      <c r="J302" s="155">
        <f>+J89*'3. PREÇOS INSUMOS'!K73</f>
        <v>0</v>
      </c>
      <c r="K302" s="155">
        <f>+K89*'3. PREÇOS INSUMOS'!L73</f>
        <v>0</v>
      </c>
      <c r="L302" s="155">
        <f>+L89*'3. PREÇOS INSUMOS'!M73</f>
        <v>0</v>
      </c>
      <c r="M302" s="155">
        <f>+M89*'3. PREÇOS INSUMOS'!N73</f>
        <v>0</v>
      </c>
      <c r="N302" s="155">
        <f>+N89*'3. PREÇOS INSUMOS'!O73</f>
        <v>48500</v>
      </c>
      <c r="O302" s="155">
        <f>+O89*'3. PREÇOS INSUMOS'!P73</f>
        <v>0</v>
      </c>
      <c r="P302" s="155">
        <f>+P89*'3. PREÇOS INSUMOS'!Q73</f>
        <v>0</v>
      </c>
      <c r="Q302" s="155">
        <f>+Q89*'3. PREÇOS INSUMOS'!R73</f>
        <v>0</v>
      </c>
      <c r="R302" s="155">
        <f>+R89*'3. PREÇOS INSUMOS'!S73</f>
        <v>0</v>
      </c>
      <c r="S302" s="155">
        <f>+S89*'3. PREÇOS INSUMOS'!T73</f>
        <v>0</v>
      </c>
      <c r="T302" s="156">
        <f>+T89*'3. PREÇOS INSUMOS'!U73</f>
        <v>0</v>
      </c>
      <c r="U302" s="156">
        <f>+U89*'3. PREÇOS INSUMOS'!U73</f>
        <v>48500</v>
      </c>
    </row>
    <row r="303" spans="1:21">
      <c r="C303" s="110">
        <v>8</v>
      </c>
      <c r="D303" s="108" t="s">
        <v>96</v>
      </c>
      <c r="E303" s="155">
        <f>+E90*'3. PREÇOS INSUMOS'!G74</f>
        <v>0</v>
      </c>
      <c r="F303" s="155">
        <f>+F90*'3. PREÇOS INSUMOS'!G74</f>
        <v>0</v>
      </c>
      <c r="G303" s="155">
        <f>+G90*'3. PREÇOS INSUMOS'!H74</f>
        <v>0</v>
      </c>
      <c r="H303" s="155">
        <f>+H90*'3. PREÇOS INSUMOS'!I74</f>
        <v>0</v>
      </c>
      <c r="I303" s="155">
        <f>+I90*'3. PREÇOS INSUMOS'!J74</f>
        <v>77600</v>
      </c>
      <c r="J303" s="155">
        <f>+J90*'3. PREÇOS INSUMOS'!K74</f>
        <v>0</v>
      </c>
      <c r="K303" s="155">
        <f>+K90*'3. PREÇOS INSUMOS'!L74</f>
        <v>0</v>
      </c>
      <c r="L303" s="155">
        <f>+L90*'3. PREÇOS INSUMOS'!M74</f>
        <v>0</v>
      </c>
      <c r="M303" s="155">
        <f>+M90*'3. PREÇOS INSUMOS'!N74</f>
        <v>0</v>
      </c>
      <c r="N303" s="155">
        <f>+N90*'3. PREÇOS INSUMOS'!O74</f>
        <v>0</v>
      </c>
      <c r="O303" s="155">
        <f>+O90*'3. PREÇOS INSUMOS'!P74</f>
        <v>38800</v>
      </c>
      <c r="P303" s="155">
        <f>+P90*'3. PREÇOS INSUMOS'!Q74</f>
        <v>77600</v>
      </c>
      <c r="Q303" s="155">
        <f>+Q90*'3. PREÇOS INSUMOS'!R74</f>
        <v>77600</v>
      </c>
      <c r="R303" s="155">
        <f>+R90*'3. PREÇOS INSUMOS'!S74</f>
        <v>116400</v>
      </c>
      <c r="S303" s="155">
        <f>+S90*'3. PREÇOS INSUMOS'!T74</f>
        <v>0</v>
      </c>
      <c r="T303" s="156">
        <f>+T90*'3. PREÇOS INSUMOS'!U74</f>
        <v>0</v>
      </c>
      <c r="U303" s="156">
        <f>+U90*'3. PREÇOS INSUMOS'!U74</f>
        <v>0</v>
      </c>
    </row>
    <row r="304" spans="1:21">
      <c r="C304" s="110">
        <v>9</v>
      </c>
      <c r="D304" s="108" t="s">
        <v>97</v>
      </c>
      <c r="E304" s="155">
        <f>+E91*'3. PREÇOS INSUMOS'!G75</f>
        <v>0</v>
      </c>
      <c r="F304" s="155">
        <f>+F91*'3. PREÇOS INSUMOS'!G75</f>
        <v>0</v>
      </c>
      <c r="G304" s="155">
        <f>+G91*'3. PREÇOS INSUMOS'!H75</f>
        <v>0</v>
      </c>
      <c r="H304" s="155">
        <f>+H91*'3. PREÇOS INSUMOS'!I75</f>
        <v>0</v>
      </c>
      <c r="I304" s="155">
        <f>+I91*'3. PREÇOS INSUMOS'!J75</f>
        <v>0</v>
      </c>
      <c r="J304" s="155">
        <f>+J91*'3. PREÇOS INSUMOS'!K75</f>
        <v>0</v>
      </c>
      <c r="K304" s="155">
        <f>+K91*'3. PREÇOS INSUMOS'!L75</f>
        <v>0</v>
      </c>
      <c r="L304" s="155">
        <f>+L91*'3. PREÇOS INSUMOS'!M75</f>
        <v>0</v>
      </c>
      <c r="M304" s="155">
        <f>+M91*'3. PREÇOS INSUMOS'!N75</f>
        <v>0</v>
      </c>
      <c r="N304" s="155">
        <f>+N91*'3. PREÇOS INSUMOS'!O75</f>
        <v>0</v>
      </c>
      <c r="O304" s="155">
        <f>+O91*'3. PREÇOS INSUMOS'!P75</f>
        <v>0</v>
      </c>
      <c r="P304" s="155">
        <f>+P91*'3. PREÇOS INSUMOS'!Q75</f>
        <v>0</v>
      </c>
      <c r="Q304" s="155">
        <f>+Q91*'3. PREÇOS INSUMOS'!R75</f>
        <v>0</v>
      </c>
      <c r="R304" s="155">
        <f>+R91*'3. PREÇOS INSUMOS'!S75</f>
        <v>0</v>
      </c>
      <c r="S304" s="155">
        <f>+S91*'3. PREÇOS INSUMOS'!T75</f>
        <v>0</v>
      </c>
      <c r="T304" s="156">
        <f>+T91*'3. PREÇOS INSUMOS'!U75</f>
        <v>0</v>
      </c>
      <c r="U304" s="156">
        <f>+U91*'3. PREÇOS INSUMOS'!U75</f>
        <v>0</v>
      </c>
    </row>
    <row r="305" spans="1:21">
      <c r="C305" s="110">
        <v>10</v>
      </c>
      <c r="D305" s="109" t="s">
        <v>98</v>
      </c>
      <c r="E305" s="155">
        <f>+E92*'3. PREÇOS INSUMOS'!G76</f>
        <v>0</v>
      </c>
      <c r="F305" s="155">
        <f>+F92*'3. PREÇOS INSUMOS'!G76</f>
        <v>0</v>
      </c>
      <c r="G305" s="155">
        <f>+G92*'3. PREÇOS INSUMOS'!H76</f>
        <v>0</v>
      </c>
      <c r="H305" s="155">
        <f>+H92*'3. PREÇOS INSUMOS'!I76</f>
        <v>0</v>
      </c>
      <c r="I305" s="155">
        <f>+I92*'3. PREÇOS INSUMOS'!J76</f>
        <v>0</v>
      </c>
      <c r="J305" s="155">
        <f>+J92*'3. PREÇOS INSUMOS'!K76</f>
        <v>0</v>
      </c>
      <c r="K305" s="155">
        <f>+K92*'3. PREÇOS INSUMOS'!L76</f>
        <v>0</v>
      </c>
      <c r="L305" s="155">
        <f>+L92*'3. PREÇOS INSUMOS'!M76</f>
        <v>0</v>
      </c>
      <c r="M305" s="155">
        <f>+M92*'3. PREÇOS INSUMOS'!N76</f>
        <v>0</v>
      </c>
      <c r="N305" s="155">
        <f>+N92*'3. PREÇOS INSUMOS'!O76</f>
        <v>0</v>
      </c>
      <c r="O305" s="155">
        <f>+O92*'3. PREÇOS INSUMOS'!P76</f>
        <v>0</v>
      </c>
      <c r="P305" s="155">
        <f>+P92*'3. PREÇOS INSUMOS'!Q76</f>
        <v>0</v>
      </c>
      <c r="Q305" s="155">
        <f>+Q92*'3. PREÇOS INSUMOS'!R76</f>
        <v>0</v>
      </c>
      <c r="R305" s="155">
        <f>+R92*'3. PREÇOS INSUMOS'!S76</f>
        <v>0</v>
      </c>
      <c r="S305" s="155">
        <f>+S92*'3. PREÇOS INSUMOS'!T76</f>
        <v>0</v>
      </c>
      <c r="T305" s="156">
        <f>+T92*'3. PREÇOS INSUMOS'!U76</f>
        <v>0</v>
      </c>
      <c r="U305" s="156">
        <f>+U92*'3. PREÇOS INSUMOS'!U76</f>
        <v>0</v>
      </c>
    </row>
    <row r="306" spans="1:21">
      <c r="A306" s="4"/>
      <c r="B306" s="4"/>
      <c r="C306" s="111" t="s">
        <v>88</v>
      </c>
      <c r="D306" s="112"/>
      <c r="E306" s="157">
        <f>SUM(E295:E305)</f>
        <v>0</v>
      </c>
      <c r="F306" s="157">
        <f t="shared" ref="F306:U306" si="159">SUM(F295:F305)</f>
        <v>0</v>
      </c>
      <c r="G306" s="157">
        <f t="shared" si="159"/>
        <v>203700</v>
      </c>
      <c r="H306" s="157">
        <f t="shared" si="159"/>
        <v>97000</v>
      </c>
      <c r="I306" s="157">
        <f t="shared" si="159"/>
        <v>77600</v>
      </c>
      <c r="J306" s="157">
        <f t="shared" si="159"/>
        <v>0</v>
      </c>
      <c r="K306" s="157">
        <f t="shared" si="159"/>
        <v>0</v>
      </c>
      <c r="L306" s="157">
        <f t="shared" si="159"/>
        <v>0</v>
      </c>
      <c r="M306" s="157">
        <f t="shared" si="159"/>
        <v>0</v>
      </c>
      <c r="N306" s="157">
        <f t="shared" si="159"/>
        <v>48500</v>
      </c>
      <c r="O306" s="157">
        <f t="shared" si="159"/>
        <v>38800</v>
      </c>
      <c r="P306" s="157">
        <f t="shared" si="159"/>
        <v>77600</v>
      </c>
      <c r="Q306" s="157">
        <f t="shared" si="159"/>
        <v>77600</v>
      </c>
      <c r="R306" s="157">
        <f t="shared" si="159"/>
        <v>116400</v>
      </c>
      <c r="S306" s="157">
        <f t="shared" si="159"/>
        <v>0</v>
      </c>
      <c r="T306" s="158">
        <f t="shared" si="159"/>
        <v>0</v>
      </c>
      <c r="U306" s="158">
        <f t="shared" si="159"/>
        <v>1231900</v>
      </c>
    </row>
    <row r="307" spans="1:21" s="4" customFormat="1">
      <c r="A307" s="2"/>
      <c r="B307" s="2"/>
      <c r="C307" s="2"/>
      <c r="D307" s="2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2"/>
    </row>
    <row r="308" spans="1:21" s="4" customFormat="1" ht="15.75">
      <c r="A308" s="2">
        <v>3</v>
      </c>
      <c r="B308" s="2"/>
      <c r="C308" s="718" t="str">
        <f>"7.2.2.3 - "&amp;VLOOKUP(A308,TIPOLOGIA!$D$10:$E$12,2,0)</f>
        <v>7.2.2.3 - -</v>
      </c>
      <c r="D308" s="718"/>
      <c r="E308" s="718"/>
      <c r="F308" s="718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2"/>
    </row>
    <row r="309" spans="1:21" ht="18" customHeight="1">
      <c r="C309" s="705" t="s">
        <v>86</v>
      </c>
      <c r="D309" s="719"/>
      <c r="E309" s="105" t="s">
        <v>99</v>
      </c>
      <c r="F309" s="106">
        <v>1</v>
      </c>
      <c r="G309" s="106">
        <f t="shared" ref="G309:T309" si="160">+F309+1</f>
        <v>2</v>
      </c>
      <c r="H309" s="106">
        <f t="shared" si="160"/>
        <v>3</v>
      </c>
      <c r="I309" s="106">
        <f t="shared" si="160"/>
        <v>4</v>
      </c>
      <c r="J309" s="106">
        <f t="shared" si="160"/>
        <v>5</v>
      </c>
      <c r="K309" s="106">
        <f t="shared" si="160"/>
        <v>6</v>
      </c>
      <c r="L309" s="106">
        <f t="shared" si="160"/>
        <v>7</v>
      </c>
      <c r="M309" s="106">
        <f t="shared" si="160"/>
        <v>8</v>
      </c>
      <c r="N309" s="106">
        <f t="shared" si="160"/>
        <v>9</v>
      </c>
      <c r="O309" s="106">
        <f t="shared" si="160"/>
        <v>10</v>
      </c>
      <c r="P309" s="106">
        <f t="shared" si="160"/>
        <v>11</v>
      </c>
      <c r="Q309" s="106">
        <f t="shared" si="160"/>
        <v>12</v>
      </c>
      <c r="R309" s="106">
        <f t="shared" si="160"/>
        <v>13</v>
      </c>
      <c r="S309" s="106">
        <f t="shared" si="160"/>
        <v>14</v>
      </c>
      <c r="T309" s="107">
        <f t="shared" si="160"/>
        <v>15</v>
      </c>
      <c r="U309" s="107" t="s">
        <v>222</v>
      </c>
    </row>
    <row r="310" spans="1:21">
      <c r="C310" s="110">
        <v>0</v>
      </c>
      <c r="D310" s="108" t="s">
        <v>87</v>
      </c>
      <c r="E310" s="155">
        <f>+'7. INVESTIMENTO FROTA'!E98*'3. PREÇOS INSUMOS'!G81</f>
        <v>0</v>
      </c>
      <c r="F310" s="155">
        <f>+'7. INVESTIMENTO FROTA'!F98*'3. PREÇOS INSUMOS'!G81</f>
        <v>0</v>
      </c>
      <c r="G310" s="155">
        <f>+'7. INVESTIMENTO FROTA'!G98*'3. PREÇOS INSUMOS'!H81</f>
        <v>0</v>
      </c>
      <c r="H310" s="155">
        <f>+'7. INVESTIMENTO FROTA'!H98*'3. PREÇOS INSUMOS'!I81</f>
        <v>0</v>
      </c>
      <c r="I310" s="155">
        <f>+'7. INVESTIMENTO FROTA'!I98*'3. PREÇOS INSUMOS'!J81</f>
        <v>0</v>
      </c>
      <c r="J310" s="155">
        <f>+'7. INVESTIMENTO FROTA'!J98*'3. PREÇOS INSUMOS'!K81</f>
        <v>0</v>
      </c>
      <c r="K310" s="155">
        <f>+'7. INVESTIMENTO FROTA'!K98*'3. PREÇOS INSUMOS'!L81</f>
        <v>0</v>
      </c>
      <c r="L310" s="155">
        <f>+'7. INVESTIMENTO FROTA'!L98*'3. PREÇOS INSUMOS'!M81</f>
        <v>0</v>
      </c>
      <c r="M310" s="155">
        <f>+'7. INVESTIMENTO FROTA'!M98*'3. PREÇOS INSUMOS'!N81</f>
        <v>0</v>
      </c>
      <c r="N310" s="155">
        <f>+'7. INVESTIMENTO FROTA'!N98*'3. PREÇOS INSUMOS'!O81</f>
        <v>0</v>
      </c>
      <c r="O310" s="155">
        <f>+'7. INVESTIMENTO FROTA'!O98*'3. PREÇOS INSUMOS'!P81</f>
        <v>0</v>
      </c>
      <c r="P310" s="155">
        <f>+'7. INVESTIMENTO FROTA'!P98*'3. PREÇOS INSUMOS'!Q81</f>
        <v>0</v>
      </c>
      <c r="Q310" s="155">
        <f>+'7. INVESTIMENTO FROTA'!Q98*'3. PREÇOS INSUMOS'!R81</f>
        <v>0</v>
      </c>
      <c r="R310" s="155">
        <f>+'7. INVESTIMENTO FROTA'!R98*'3. PREÇOS INSUMOS'!S81</f>
        <v>0</v>
      </c>
      <c r="S310" s="155">
        <f>+'7. INVESTIMENTO FROTA'!S98*'3. PREÇOS INSUMOS'!T81</f>
        <v>0</v>
      </c>
      <c r="T310" s="156">
        <f>+'7. INVESTIMENTO FROTA'!T98*'3. PREÇOS INSUMOS'!U81</f>
        <v>0</v>
      </c>
      <c r="U310" s="156">
        <f>+U98*'3. PREÇOS INSUMOS'!U81</f>
        <v>0</v>
      </c>
    </row>
    <row r="311" spans="1:21" ht="18" customHeight="1">
      <c r="C311" s="110">
        <v>1</v>
      </c>
      <c r="D311" s="108" t="s">
        <v>89</v>
      </c>
      <c r="E311" s="155">
        <f>+'7. INVESTIMENTO FROTA'!E99*'3. PREÇOS INSUMOS'!G82</f>
        <v>0</v>
      </c>
      <c r="F311" s="155">
        <f>+'7. INVESTIMENTO FROTA'!F99*'3. PREÇOS INSUMOS'!G82</f>
        <v>0</v>
      </c>
      <c r="G311" s="155">
        <f>+'7. INVESTIMENTO FROTA'!G99*'3. PREÇOS INSUMOS'!H82</f>
        <v>0</v>
      </c>
      <c r="H311" s="155">
        <f>+'7. INVESTIMENTO FROTA'!H99*'3. PREÇOS INSUMOS'!I82</f>
        <v>0</v>
      </c>
      <c r="I311" s="155">
        <f>+'7. INVESTIMENTO FROTA'!I99*'3. PREÇOS INSUMOS'!J82</f>
        <v>0</v>
      </c>
      <c r="J311" s="155">
        <f>+'7. INVESTIMENTO FROTA'!J99*'3. PREÇOS INSUMOS'!K82</f>
        <v>0</v>
      </c>
      <c r="K311" s="155">
        <f>+'7. INVESTIMENTO FROTA'!K99*'3. PREÇOS INSUMOS'!L82</f>
        <v>0</v>
      </c>
      <c r="L311" s="155">
        <f>+'7. INVESTIMENTO FROTA'!L99*'3. PREÇOS INSUMOS'!M82</f>
        <v>0</v>
      </c>
      <c r="M311" s="155">
        <f>+'7. INVESTIMENTO FROTA'!M99*'3. PREÇOS INSUMOS'!N82</f>
        <v>0</v>
      </c>
      <c r="N311" s="155">
        <f>+'7. INVESTIMENTO FROTA'!N99*'3. PREÇOS INSUMOS'!O82</f>
        <v>0</v>
      </c>
      <c r="O311" s="155">
        <f>+'7. INVESTIMENTO FROTA'!O99*'3. PREÇOS INSUMOS'!P82</f>
        <v>0</v>
      </c>
      <c r="P311" s="155">
        <f>+'7. INVESTIMENTO FROTA'!P99*'3. PREÇOS INSUMOS'!Q82</f>
        <v>0</v>
      </c>
      <c r="Q311" s="155">
        <f>+'7. INVESTIMENTO FROTA'!Q99*'3. PREÇOS INSUMOS'!R82</f>
        <v>0</v>
      </c>
      <c r="R311" s="155">
        <f>+'7. INVESTIMENTO FROTA'!R99*'3. PREÇOS INSUMOS'!S82</f>
        <v>0</v>
      </c>
      <c r="S311" s="155">
        <f>+'7. INVESTIMENTO FROTA'!S99*'3. PREÇOS INSUMOS'!T82</f>
        <v>0</v>
      </c>
      <c r="T311" s="156">
        <f>+'7. INVESTIMENTO FROTA'!T99*'3. PREÇOS INSUMOS'!U82</f>
        <v>0</v>
      </c>
      <c r="U311" s="156">
        <f>+U99*'3. PREÇOS INSUMOS'!U82</f>
        <v>0</v>
      </c>
    </row>
    <row r="312" spans="1:21">
      <c r="C312" s="110">
        <v>2</v>
      </c>
      <c r="D312" s="108" t="s">
        <v>90</v>
      </c>
      <c r="E312" s="155">
        <f>+'7. INVESTIMENTO FROTA'!E100*'3. PREÇOS INSUMOS'!G83</f>
        <v>0</v>
      </c>
      <c r="F312" s="155">
        <f>+'7. INVESTIMENTO FROTA'!F100*'3. PREÇOS INSUMOS'!G83</f>
        <v>0</v>
      </c>
      <c r="G312" s="155">
        <f>+'7. INVESTIMENTO FROTA'!G100*'3. PREÇOS INSUMOS'!H83</f>
        <v>0</v>
      </c>
      <c r="H312" s="155">
        <f>+'7. INVESTIMENTO FROTA'!H100*'3. PREÇOS INSUMOS'!I83</f>
        <v>0</v>
      </c>
      <c r="I312" s="155">
        <f>+'7. INVESTIMENTO FROTA'!I100*'3. PREÇOS INSUMOS'!J83</f>
        <v>0</v>
      </c>
      <c r="J312" s="155">
        <f>+'7. INVESTIMENTO FROTA'!J100*'3. PREÇOS INSUMOS'!K83</f>
        <v>0</v>
      </c>
      <c r="K312" s="155">
        <f>+'7. INVESTIMENTO FROTA'!K100*'3. PREÇOS INSUMOS'!L83</f>
        <v>0</v>
      </c>
      <c r="L312" s="155">
        <f>+'7. INVESTIMENTO FROTA'!L100*'3. PREÇOS INSUMOS'!M83</f>
        <v>0</v>
      </c>
      <c r="M312" s="155">
        <f>+'7. INVESTIMENTO FROTA'!M100*'3. PREÇOS INSUMOS'!N83</f>
        <v>0</v>
      </c>
      <c r="N312" s="155">
        <f>+'7. INVESTIMENTO FROTA'!N100*'3. PREÇOS INSUMOS'!O83</f>
        <v>0</v>
      </c>
      <c r="O312" s="155">
        <f>+'7. INVESTIMENTO FROTA'!O100*'3. PREÇOS INSUMOS'!P83</f>
        <v>0</v>
      </c>
      <c r="P312" s="155">
        <f>+'7. INVESTIMENTO FROTA'!P100*'3. PREÇOS INSUMOS'!Q83</f>
        <v>0</v>
      </c>
      <c r="Q312" s="155">
        <f>+'7. INVESTIMENTO FROTA'!Q100*'3. PREÇOS INSUMOS'!R83</f>
        <v>0</v>
      </c>
      <c r="R312" s="155">
        <f>+'7. INVESTIMENTO FROTA'!R100*'3. PREÇOS INSUMOS'!S83</f>
        <v>0</v>
      </c>
      <c r="S312" s="155">
        <f>+'7. INVESTIMENTO FROTA'!S100*'3. PREÇOS INSUMOS'!T83</f>
        <v>0</v>
      </c>
      <c r="T312" s="156">
        <f>+'7. INVESTIMENTO FROTA'!T100*'3. PREÇOS INSUMOS'!U83</f>
        <v>0</v>
      </c>
      <c r="U312" s="156">
        <f>+U100*'3. PREÇOS INSUMOS'!U83</f>
        <v>0</v>
      </c>
    </row>
    <row r="313" spans="1:21">
      <c r="C313" s="110">
        <v>3</v>
      </c>
      <c r="D313" s="108" t="s">
        <v>91</v>
      </c>
      <c r="E313" s="155">
        <f>+'7. INVESTIMENTO FROTA'!E101*'3. PREÇOS INSUMOS'!G84</f>
        <v>0</v>
      </c>
      <c r="F313" s="155">
        <f>+'7. INVESTIMENTO FROTA'!F101*'3. PREÇOS INSUMOS'!G84</f>
        <v>0</v>
      </c>
      <c r="G313" s="155">
        <f>+'7. INVESTIMENTO FROTA'!G101*'3. PREÇOS INSUMOS'!H84</f>
        <v>0</v>
      </c>
      <c r="H313" s="155">
        <f>+'7. INVESTIMENTO FROTA'!H101*'3. PREÇOS INSUMOS'!I84</f>
        <v>0</v>
      </c>
      <c r="I313" s="155">
        <f>+'7. INVESTIMENTO FROTA'!I101*'3. PREÇOS INSUMOS'!J84</f>
        <v>0</v>
      </c>
      <c r="J313" s="155">
        <f>+'7. INVESTIMENTO FROTA'!J101*'3. PREÇOS INSUMOS'!K84</f>
        <v>0</v>
      </c>
      <c r="K313" s="155">
        <f>+'7. INVESTIMENTO FROTA'!K101*'3. PREÇOS INSUMOS'!L84</f>
        <v>0</v>
      </c>
      <c r="L313" s="155">
        <f>+'7. INVESTIMENTO FROTA'!L101*'3. PREÇOS INSUMOS'!M84</f>
        <v>0</v>
      </c>
      <c r="M313" s="155">
        <f>+'7. INVESTIMENTO FROTA'!M101*'3. PREÇOS INSUMOS'!N84</f>
        <v>0</v>
      </c>
      <c r="N313" s="155">
        <f>+'7. INVESTIMENTO FROTA'!N101*'3. PREÇOS INSUMOS'!O84</f>
        <v>0</v>
      </c>
      <c r="O313" s="155">
        <f>+'7. INVESTIMENTO FROTA'!O101*'3. PREÇOS INSUMOS'!P84</f>
        <v>0</v>
      </c>
      <c r="P313" s="155">
        <f>+'7. INVESTIMENTO FROTA'!P101*'3. PREÇOS INSUMOS'!Q84</f>
        <v>0</v>
      </c>
      <c r="Q313" s="155">
        <f>+'7. INVESTIMENTO FROTA'!Q101*'3. PREÇOS INSUMOS'!R84</f>
        <v>0</v>
      </c>
      <c r="R313" s="155">
        <f>+'7. INVESTIMENTO FROTA'!R101*'3. PREÇOS INSUMOS'!S84</f>
        <v>0</v>
      </c>
      <c r="S313" s="155">
        <f>+'7. INVESTIMENTO FROTA'!S101*'3. PREÇOS INSUMOS'!T84</f>
        <v>0</v>
      </c>
      <c r="T313" s="156">
        <f>+'7. INVESTIMENTO FROTA'!T101*'3. PREÇOS INSUMOS'!U84</f>
        <v>0</v>
      </c>
      <c r="U313" s="156">
        <f>+U101*'3. PREÇOS INSUMOS'!U84</f>
        <v>0</v>
      </c>
    </row>
    <row r="314" spans="1:21">
      <c r="C314" s="110">
        <v>4</v>
      </c>
      <c r="D314" s="108" t="s">
        <v>92</v>
      </c>
      <c r="E314" s="155">
        <f>+'7. INVESTIMENTO FROTA'!E102*'3. PREÇOS INSUMOS'!G85</f>
        <v>0</v>
      </c>
      <c r="F314" s="155">
        <f>+'7. INVESTIMENTO FROTA'!F102*'3. PREÇOS INSUMOS'!G85</f>
        <v>0</v>
      </c>
      <c r="G314" s="155">
        <f>+'7. INVESTIMENTO FROTA'!G102*'3. PREÇOS INSUMOS'!H85</f>
        <v>0</v>
      </c>
      <c r="H314" s="155">
        <f>+'7. INVESTIMENTO FROTA'!H102*'3. PREÇOS INSUMOS'!I85</f>
        <v>0</v>
      </c>
      <c r="I314" s="155">
        <f>+'7. INVESTIMENTO FROTA'!I102*'3. PREÇOS INSUMOS'!J85</f>
        <v>0</v>
      </c>
      <c r="J314" s="155">
        <f>+'7. INVESTIMENTO FROTA'!J102*'3. PREÇOS INSUMOS'!K85</f>
        <v>0</v>
      </c>
      <c r="K314" s="155">
        <f>+'7. INVESTIMENTO FROTA'!K102*'3. PREÇOS INSUMOS'!L85</f>
        <v>0</v>
      </c>
      <c r="L314" s="155">
        <f>+'7. INVESTIMENTO FROTA'!L102*'3. PREÇOS INSUMOS'!M85</f>
        <v>0</v>
      </c>
      <c r="M314" s="155">
        <f>+'7. INVESTIMENTO FROTA'!M102*'3. PREÇOS INSUMOS'!N85</f>
        <v>0</v>
      </c>
      <c r="N314" s="155">
        <f>+'7. INVESTIMENTO FROTA'!N102*'3. PREÇOS INSUMOS'!O85</f>
        <v>0</v>
      </c>
      <c r="O314" s="155">
        <f>+'7. INVESTIMENTO FROTA'!O102*'3. PREÇOS INSUMOS'!P85</f>
        <v>0</v>
      </c>
      <c r="P314" s="155">
        <f>+'7. INVESTIMENTO FROTA'!P102*'3. PREÇOS INSUMOS'!Q85</f>
        <v>0</v>
      </c>
      <c r="Q314" s="155">
        <f>+'7. INVESTIMENTO FROTA'!Q102*'3. PREÇOS INSUMOS'!R85</f>
        <v>0</v>
      </c>
      <c r="R314" s="155">
        <f>+'7. INVESTIMENTO FROTA'!R102*'3. PREÇOS INSUMOS'!S85</f>
        <v>0</v>
      </c>
      <c r="S314" s="155">
        <f>+'7. INVESTIMENTO FROTA'!S102*'3. PREÇOS INSUMOS'!T85</f>
        <v>0</v>
      </c>
      <c r="T314" s="156">
        <f>+'7. INVESTIMENTO FROTA'!T102*'3. PREÇOS INSUMOS'!U85</f>
        <v>0</v>
      </c>
      <c r="U314" s="156">
        <f>+U102*'3. PREÇOS INSUMOS'!U85</f>
        <v>0</v>
      </c>
    </row>
    <row r="315" spans="1:21">
      <c r="C315" s="110">
        <v>5</v>
      </c>
      <c r="D315" s="108" t="s">
        <v>93</v>
      </c>
      <c r="E315" s="155">
        <f>+'7. INVESTIMENTO FROTA'!E103*'3. PREÇOS INSUMOS'!G86</f>
        <v>0</v>
      </c>
      <c r="F315" s="155">
        <f>+'7. INVESTIMENTO FROTA'!F103*'3. PREÇOS INSUMOS'!G86</f>
        <v>0</v>
      </c>
      <c r="G315" s="155">
        <f>+'7. INVESTIMENTO FROTA'!G103*'3. PREÇOS INSUMOS'!H86</f>
        <v>0</v>
      </c>
      <c r="H315" s="155">
        <f>+'7. INVESTIMENTO FROTA'!H103*'3. PREÇOS INSUMOS'!I86</f>
        <v>0</v>
      </c>
      <c r="I315" s="155">
        <f>+'7. INVESTIMENTO FROTA'!I103*'3. PREÇOS INSUMOS'!J86</f>
        <v>0</v>
      </c>
      <c r="J315" s="155">
        <f>+'7. INVESTIMENTO FROTA'!J103*'3. PREÇOS INSUMOS'!K86</f>
        <v>0</v>
      </c>
      <c r="K315" s="155">
        <f>+'7. INVESTIMENTO FROTA'!K103*'3. PREÇOS INSUMOS'!L86</f>
        <v>0</v>
      </c>
      <c r="L315" s="155">
        <f>+'7. INVESTIMENTO FROTA'!L103*'3. PREÇOS INSUMOS'!M86</f>
        <v>0</v>
      </c>
      <c r="M315" s="155">
        <f>+'7. INVESTIMENTO FROTA'!M103*'3. PREÇOS INSUMOS'!N86</f>
        <v>0</v>
      </c>
      <c r="N315" s="155">
        <f>+'7. INVESTIMENTO FROTA'!N103*'3. PREÇOS INSUMOS'!O86</f>
        <v>0</v>
      </c>
      <c r="O315" s="155">
        <f>+'7. INVESTIMENTO FROTA'!O103*'3. PREÇOS INSUMOS'!P86</f>
        <v>0</v>
      </c>
      <c r="P315" s="155">
        <f>+'7. INVESTIMENTO FROTA'!P103*'3. PREÇOS INSUMOS'!Q86</f>
        <v>0</v>
      </c>
      <c r="Q315" s="155">
        <f>+'7. INVESTIMENTO FROTA'!Q103*'3. PREÇOS INSUMOS'!R86</f>
        <v>0</v>
      </c>
      <c r="R315" s="155">
        <f>+'7. INVESTIMENTO FROTA'!R103*'3. PREÇOS INSUMOS'!S86</f>
        <v>0</v>
      </c>
      <c r="S315" s="155">
        <f>+'7. INVESTIMENTO FROTA'!S103*'3. PREÇOS INSUMOS'!T86</f>
        <v>0</v>
      </c>
      <c r="T315" s="156">
        <f>+'7. INVESTIMENTO FROTA'!T103*'3. PREÇOS INSUMOS'!U86</f>
        <v>0</v>
      </c>
      <c r="U315" s="156">
        <f>+U103*'3. PREÇOS INSUMOS'!U86</f>
        <v>0</v>
      </c>
    </row>
    <row r="316" spans="1:21">
      <c r="C316" s="110">
        <v>6</v>
      </c>
      <c r="D316" s="108" t="s">
        <v>94</v>
      </c>
      <c r="E316" s="155">
        <f>+'7. INVESTIMENTO FROTA'!E104*'3. PREÇOS INSUMOS'!G87</f>
        <v>0</v>
      </c>
      <c r="F316" s="155">
        <f>+'7. INVESTIMENTO FROTA'!F104*'3. PREÇOS INSUMOS'!G87</f>
        <v>0</v>
      </c>
      <c r="G316" s="155">
        <f>+'7. INVESTIMENTO FROTA'!G104*'3. PREÇOS INSUMOS'!H87</f>
        <v>0</v>
      </c>
      <c r="H316" s="155">
        <f>+'7. INVESTIMENTO FROTA'!H104*'3. PREÇOS INSUMOS'!I87</f>
        <v>0</v>
      </c>
      <c r="I316" s="155">
        <f>+'7. INVESTIMENTO FROTA'!I104*'3. PREÇOS INSUMOS'!J87</f>
        <v>0</v>
      </c>
      <c r="J316" s="155">
        <f>+'7. INVESTIMENTO FROTA'!J104*'3. PREÇOS INSUMOS'!K87</f>
        <v>0</v>
      </c>
      <c r="K316" s="155">
        <f>+'7. INVESTIMENTO FROTA'!K104*'3. PREÇOS INSUMOS'!L87</f>
        <v>0</v>
      </c>
      <c r="L316" s="155">
        <f>+'7. INVESTIMENTO FROTA'!L104*'3. PREÇOS INSUMOS'!M87</f>
        <v>0</v>
      </c>
      <c r="M316" s="155">
        <f>+'7. INVESTIMENTO FROTA'!M104*'3. PREÇOS INSUMOS'!N87</f>
        <v>0</v>
      </c>
      <c r="N316" s="155">
        <f>+'7. INVESTIMENTO FROTA'!N104*'3. PREÇOS INSUMOS'!O87</f>
        <v>0</v>
      </c>
      <c r="O316" s="155">
        <f>+'7. INVESTIMENTO FROTA'!O104*'3. PREÇOS INSUMOS'!P87</f>
        <v>0</v>
      </c>
      <c r="P316" s="155">
        <f>+'7. INVESTIMENTO FROTA'!P104*'3. PREÇOS INSUMOS'!Q87</f>
        <v>0</v>
      </c>
      <c r="Q316" s="155">
        <f>+'7. INVESTIMENTO FROTA'!Q104*'3. PREÇOS INSUMOS'!R87</f>
        <v>0</v>
      </c>
      <c r="R316" s="155">
        <f>+'7. INVESTIMENTO FROTA'!R104*'3. PREÇOS INSUMOS'!S87</f>
        <v>0</v>
      </c>
      <c r="S316" s="155">
        <f>+'7. INVESTIMENTO FROTA'!S104*'3. PREÇOS INSUMOS'!T87</f>
        <v>0</v>
      </c>
      <c r="T316" s="156">
        <f>+'7. INVESTIMENTO FROTA'!T104*'3. PREÇOS INSUMOS'!U87</f>
        <v>0</v>
      </c>
      <c r="U316" s="156">
        <f>+U104*'3. PREÇOS INSUMOS'!U87</f>
        <v>0</v>
      </c>
    </row>
    <row r="317" spans="1:21">
      <c r="C317" s="110">
        <v>7</v>
      </c>
      <c r="D317" s="108" t="s">
        <v>95</v>
      </c>
      <c r="E317" s="155">
        <f>+'7. INVESTIMENTO FROTA'!E105*'3. PREÇOS INSUMOS'!G88</f>
        <v>0</v>
      </c>
      <c r="F317" s="155">
        <f>+'7. INVESTIMENTO FROTA'!F105*'3. PREÇOS INSUMOS'!G88</f>
        <v>0</v>
      </c>
      <c r="G317" s="155">
        <f>+'7. INVESTIMENTO FROTA'!G105*'3. PREÇOS INSUMOS'!H88</f>
        <v>0</v>
      </c>
      <c r="H317" s="155">
        <f>+'7. INVESTIMENTO FROTA'!H105*'3. PREÇOS INSUMOS'!I88</f>
        <v>0</v>
      </c>
      <c r="I317" s="155">
        <f>+'7. INVESTIMENTO FROTA'!I105*'3. PREÇOS INSUMOS'!J88</f>
        <v>0</v>
      </c>
      <c r="J317" s="155">
        <f>+'7. INVESTIMENTO FROTA'!J105*'3. PREÇOS INSUMOS'!K88</f>
        <v>0</v>
      </c>
      <c r="K317" s="155">
        <f>+'7. INVESTIMENTO FROTA'!K105*'3. PREÇOS INSUMOS'!L88</f>
        <v>0</v>
      </c>
      <c r="L317" s="155">
        <f>+'7. INVESTIMENTO FROTA'!L105*'3. PREÇOS INSUMOS'!M88</f>
        <v>0</v>
      </c>
      <c r="M317" s="155">
        <f>+'7. INVESTIMENTO FROTA'!M105*'3. PREÇOS INSUMOS'!N88</f>
        <v>0</v>
      </c>
      <c r="N317" s="155">
        <f>+'7. INVESTIMENTO FROTA'!N105*'3. PREÇOS INSUMOS'!O88</f>
        <v>0</v>
      </c>
      <c r="O317" s="155">
        <f>+'7. INVESTIMENTO FROTA'!O105*'3. PREÇOS INSUMOS'!P88</f>
        <v>0</v>
      </c>
      <c r="P317" s="155">
        <f>+'7. INVESTIMENTO FROTA'!P105*'3. PREÇOS INSUMOS'!Q88</f>
        <v>0</v>
      </c>
      <c r="Q317" s="155">
        <f>+'7. INVESTIMENTO FROTA'!Q105*'3. PREÇOS INSUMOS'!R88</f>
        <v>0</v>
      </c>
      <c r="R317" s="155">
        <f>+'7. INVESTIMENTO FROTA'!R105*'3. PREÇOS INSUMOS'!S88</f>
        <v>0</v>
      </c>
      <c r="S317" s="155">
        <f>+'7. INVESTIMENTO FROTA'!S105*'3. PREÇOS INSUMOS'!T88</f>
        <v>0</v>
      </c>
      <c r="T317" s="156">
        <f>+'7. INVESTIMENTO FROTA'!T105*'3. PREÇOS INSUMOS'!U88</f>
        <v>0</v>
      </c>
      <c r="U317" s="156">
        <f>+U105*'3. PREÇOS INSUMOS'!U88</f>
        <v>0</v>
      </c>
    </row>
    <row r="318" spans="1:21">
      <c r="C318" s="110">
        <v>8</v>
      </c>
      <c r="D318" s="108" t="s">
        <v>96</v>
      </c>
      <c r="E318" s="155">
        <f>+'7. INVESTIMENTO FROTA'!E106*'3. PREÇOS INSUMOS'!G89</f>
        <v>0</v>
      </c>
      <c r="F318" s="155">
        <f>+'7. INVESTIMENTO FROTA'!F106*'3. PREÇOS INSUMOS'!G89</f>
        <v>0</v>
      </c>
      <c r="G318" s="155">
        <f>+'7. INVESTIMENTO FROTA'!G106*'3. PREÇOS INSUMOS'!H89</f>
        <v>0</v>
      </c>
      <c r="H318" s="155">
        <f>+'7. INVESTIMENTO FROTA'!H106*'3. PREÇOS INSUMOS'!I89</f>
        <v>0</v>
      </c>
      <c r="I318" s="155">
        <f>+'7. INVESTIMENTO FROTA'!I106*'3. PREÇOS INSUMOS'!J89</f>
        <v>0</v>
      </c>
      <c r="J318" s="155">
        <f>+'7. INVESTIMENTO FROTA'!J106*'3. PREÇOS INSUMOS'!K89</f>
        <v>0</v>
      </c>
      <c r="K318" s="155">
        <f>+'7. INVESTIMENTO FROTA'!K106*'3. PREÇOS INSUMOS'!L89</f>
        <v>0</v>
      </c>
      <c r="L318" s="155">
        <f>+'7. INVESTIMENTO FROTA'!L106*'3. PREÇOS INSUMOS'!M89</f>
        <v>0</v>
      </c>
      <c r="M318" s="155">
        <f>+'7. INVESTIMENTO FROTA'!M106*'3. PREÇOS INSUMOS'!N89</f>
        <v>0</v>
      </c>
      <c r="N318" s="155">
        <f>+'7. INVESTIMENTO FROTA'!N106*'3. PREÇOS INSUMOS'!O89</f>
        <v>0</v>
      </c>
      <c r="O318" s="155">
        <f>+'7. INVESTIMENTO FROTA'!O106*'3. PREÇOS INSUMOS'!P89</f>
        <v>0</v>
      </c>
      <c r="P318" s="155">
        <f>+'7. INVESTIMENTO FROTA'!P106*'3. PREÇOS INSUMOS'!Q89</f>
        <v>0</v>
      </c>
      <c r="Q318" s="155">
        <f>+'7. INVESTIMENTO FROTA'!Q106*'3. PREÇOS INSUMOS'!R89</f>
        <v>0</v>
      </c>
      <c r="R318" s="155">
        <f>+'7. INVESTIMENTO FROTA'!R106*'3. PREÇOS INSUMOS'!S89</f>
        <v>0</v>
      </c>
      <c r="S318" s="155">
        <f>+'7. INVESTIMENTO FROTA'!S106*'3. PREÇOS INSUMOS'!T89</f>
        <v>0</v>
      </c>
      <c r="T318" s="156">
        <f>+'7. INVESTIMENTO FROTA'!T106*'3. PREÇOS INSUMOS'!U89</f>
        <v>0</v>
      </c>
      <c r="U318" s="156">
        <f>+U106*'3. PREÇOS INSUMOS'!U89</f>
        <v>0</v>
      </c>
    </row>
    <row r="319" spans="1:21">
      <c r="C319" s="110">
        <v>9</v>
      </c>
      <c r="D319" s="108" t="s">
        <v>97</v>
      </c>
      <c r="E319" s="155">
        <f>+'7. INVESTIMENTO FROTA'!E107*'3. PREÇOS INSUMOS'!G90</f>
        <v>0</v>
      </c>
      <c r="F319" s="155">
        <f>+'7. INVESTIMENTO FROTA'!F107*'3. PREÇOS INSUMOS'!G90</f>
        <v>0</v>
      </c>
      <c r="G319" s="155">
        <f>+'7. INVESTIMENTO FROTA'!G107*'3. PREÇOS INSUMOS'!H90</f>
        <v>0</v>
      </c>
      <c r="H319" s="155">
        <f>+'7. INVESTIMENTO FROTA'!H107*'3. PREÇOS INSUMOS'!I90</f>
        <v>0</v>
      </c>
      <c r="I319" s="155">
        <f>+'7. INVESTIMENTO FROTA'!I107*'3. PREÇOS INSUMOS'!J90</f>
        <v>0</v>
      </c>
      <c r="J319" s="155">
        <f>+'7. INVESTIMENTO FROTA'!J107*'3. PREÇOS INSUMOS'!K90</f>
        <v>0</v>
      </c>
      <c r="K319" s="155">
        <f>+'7. INVESTIMENTO FROTA'!K107*'3. PREÇOS INSUMOS'!L90</f>
        <v>0</v>
      </c>
      <c r="L319" s="155">
        <f>+'7. INVESTIMENTO FROTA'!L107*'3. PREÇOS INSUMOS'!M90</f>
        <v>0</v>
      </c>
      <c r="M319" s="155">
        <f>+'7. INVESTIMENTO FROTA'!M107*'3. PREÇOS INSUMOS'!N90</f>
        <v>0</v>
      </c>
      <c r="N319" s="155">
        <f>+'7. INVESTIMENTO FROTA'!N107*'3. PREÇOS INSUMOS'!O90</f>
        <v>0</v>
      </c>
      <c r="O319" s="155">
        <f>+'7. INVESTIMENTO FROTA'!O107*'3. PREÇOS INSUMOS'!P90</f>
        <v>0</v>
      </c>
      <c r="P319" s="155">
        <f>+'7. INVESTIMENTO FROTA'!P107*'3. PREÇOS INSUMOS'!Q90</f>
        <v>0</v>
      </c>
      <c r="Q319" s="155">
        <f>+'7. INVESTIMENTO FROTA'!Q107*'3. PREÇOS INSUMOS'!R90</f>
        <v>0</v>
      </c>
      <c r="R319" s="155">
        <f>+'7. INVESTIMENTO FROTA'!R107*'3. PREÇOS INSUMOS'!S90</f>
        <v>0</v>
      </c>
      <c r="S319" s="155">
        <f>+'7. INVESTIMENTO FROTA'!S107*'3. PREÇOS INSUMOS'!T90</f>
        <v>0</v>
      </c>
      <c r="T319" s="156">
        <f>+'7. INVESTIMENTO FROTA'!T107*'3. PREÇOS INSUMOS'!U90</f>
        <v>0</v>
      </c>
      <c r="U319" s="156">
        <f>+U107*'3. PREÇOS INSUMOS'!U90</f>
        <v>0</v>
      </c>
    </row>
    <row r="320" spans="1:21">
      <c r="C320" s="110">
        <v>10</v>
      </c>
      <c r="D320" s="109" t="s">
        <v>98</v>
      </c>
      <c r="E320" s="155">
        <f>+'7. INVESTIMENTO FROTA'!E108*'3. PREÇOS INSUMOS'!G91</f>
        <v>0</v>
      </c>
      <c r="F320" s="155">
        <f>+'7. INVESTIMENTO FROTA'!F108*'3. PREÇOS INSUMOS'!G91</f>
        <v>0</v>
      </c>
      <c r="G320" s="155">
        <f>+'7. INVESTIMENTO FROTA'!G108*'3. PREÇOS INSUMOS'!H91</f>
        <v>0</v>
      </c>
      <c r="H320" s="155">
        <f>+'7. INVESTIMENTO FROTA'!H108*'3. PREÇOS INSUMOS'!I91</f>
        <v>0</v>
      </c>
      <c r="I320" s="155">
        <f>+'7. INVESTIMENTO FROTA'!I108*'3. PREÇOS INSUMOS'!J91</f>
        <v>0</v>
      </c>
      <c r="J320" s="155">
        <f>+'7. INVESTIMENTO FROTA'!J108*'3. PREÇOS INSUMOS'!K91</f>
        <v>0</v>
      </c>
      <c r="K320" s="155">
        <f>+'7. INVESTIMENTO FROTA'!K108*'3. PREÇOS INSUMOS'!L91</f>
        <v>0</v>
      </c>
      <c r="L320" s="155">
        <f>+'7. INVESTIMENTO FROTA'!L108*'3. PREÇOS INSUMOS'!M91</f>
        <v>0</v>
      </c>
      <c r="M320" s="155">
        <f>+'7. INVESTIMENTO FROTA'!M108*'3. PREÇOS INSUMOS'!N91</f>
        <v>0</v>
      </c>
      <c r="N320" s="155">
        <f>+'7. INVESTIMENTO FROTA'!N108*'3. PREÇOS INSUMOS'!O91</f>
        <v>0</v>
      </c>
      <c r="O320" s="155">
        <f>+'7. INVESTIMENTO FROTA'!O108*'3. PREÇOS INSUMOS'!P91</f>
        <v>0</v>
      </c>
      <c r="P320" s="155">
        <f>+'7. INVESTIMENTO FROTA'!P108*'3. PREÇOS INSUMOS'!Q91</f>
        <v>0</v>
      </c>
      <c r="Q320" s="155">
        <f>+'7. INVESTIMENTO FROTA'!Q108*'3. PREÇOS INSUMOS'!R91</f>
        <v>0</v>
      </c>
      <c r="R320" s="155">
        <f>+'7. INVESTIMENTO FROTA'!R108*'3. PREÇOS INSUMOS'!S91</f>
        <v>0</v>
      </c>
      <c r="S320" s="155">
        <f>+'7. INVESTIMENTO FROTA'!S108*'3. PREÇOS INSUMOS'!T91</f>
        <v>0</v>
      </c>
      <c r="T320" s="156">
        <f>+'7. INVESTIMENTO FROTA'!T108*'3. PREÇOS INSUMOS'!U91</f>
        <v>0</v>
      </c>
      <c r="U320" s="156">
        <f>+U108*'3. PREÇOS INSUMOS'!U91</f>
        <v>0</v>
      </c>
    </row>
    <row r="321" spans="1:21">
      <c r="A321" s="4"/>
      <c r="B321" s="4"/>
      <c r="C321" s="111" t="s">
        <v>88</v>
      </c>
      <c r="D321" s="112"/>
      <c r="E321" s="157">
        <f>SUM(E310:E320)</f>
        <v>0</v>
      </c>
      <c r="F321" s="157">
        <f t="shared" ref="F321:T321" si="161">SUM(F310:F320)</f>
        <v>0</v>
      </c>
      <c r="G321" s="157">
        <f t="shared" si="161"/>
        <v>0</v>
      </c>
      <c r="H321" s="157">
        <f t="shared" si="161"/>
        <v>0</v>
      </c>
      <c r="I321" s="157">
        <f t="shared" si="161"/>
        <v>0</v>
      </c>
      <c r="J321" s="157">
        <f t="shared" si="161"/>
        <v>0</v>
      </c>
      <c r="K321" s="157">
        <f t="shared" si="161"/>
        <v>0</v>
      </c>
      <c r="L321" s="157">
        <f t="shared" si="161"/>
        <v>0</v>
      </c>
      <c r="M321" s="157">
        <f t="shared" si="161"/>
        <v>0</v>
      </c>
      <c r="N321" s="157">
        <f t="shared" si="161"/>
        <v>0</v>
      </c>
      <c r="O321" s="157">
        <f t="shared" si="161"/>
        <v>0</v>
      </c>
      <c r="P321" s="157">
        <f t="shared" si="161"/>
        <v>0</v>
      </c>
      <c r="Q321" s="157">
        <f t="shared" si="161"/>
        <v>0</v>
      </c>
      <c r="R321" s="157">
        <f t="shared" si="161"/>
        <v>0</v>
      </c>
      <c r="S321" s="157">
        <f t="shared" si="161"/>
        <v>0</v>
      </c>
      <c r="T321" s="158">
        <f t="shared" si="161"/>
        <v>0</v>
      </c>
      <c r="U321" s="158">
        <f>SUM(U310:U320)</f>
        <v>0</v>
      </c>
    </row>
    <row r="322" spans="1:21" s="4" customFormat="1">
      <c r="A322" s="2"/>
      <c r="B322" s="2"/>
      <c r="C322" s="2"/>
      <c r="D322" s="2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2"/>
    </row>
    <row r="323" spans="1:21" s="4" customFormat="1">
      <c r="A323" s="2"/>
      <c r="B323" s="2"/>
      <c r="C323" s="2"/>
      <c r="D323" s="2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2"/>
    </row>
    <row r="324" spans="1:21" ht="18" customHeight="1">
      <c r="C324" s="587" t="s">
        <v>220</v>
      </c>
      <c r="D324" s="588"/>
      <c r="E324" s="589"/>
      <c r="F324" s="589"/>
      <c r="G324" s="589"/>
      <c r="H324" s="589"/>
      <c r="I324" s="589"/>
      <c r="J324" s="589"/>
      <c r="K324" s="589"/>
      <c r="L324" s="589"/>
      <c r="M324" s="589"/>
      <c r="N324" s="589"/>
      <c r="O324" s="589"/>
      <c r="P324" s="589"/>
      <c r="Q324" s="589"/>
      <c r="R324" s="589"/>
      <c r="S324" s="589"/>
      <c r="T324" s="589"/>
      <c r="U324" s="589"/>
    </row>
    <row r="326" spans="1:21" ht="15.75">
      <c r="A326" s="2">
        <v>1</v>
      </c>
      <c r="C326" s="718" t="str">
        <f>"7.2.3.1 - "&amp;VLOOKUP(A326,TIPOLOGIA!$D$10:$E$12,2,0)</f>
        <v>7.2.3.1 - MICROÔNIBUS</v>
      </c>
      <c r="D326" s="718"/>
      <c r="E326" s="718"/>
      <c r="F326" s="718"/>
    </row>
    <row r="327" spans="1:21" ht="18" customHeight="1">
      <c r="C327" s="705" t="s">
        <v>86</v>
      </c>
      <c r="D327" s="719"/>
      <c r="E327" s="105" t="s">
        <v>99</v>
      </c>
      <c r="F327" s="106">
        <v>1</v>
      </c>
      <c r="G327" s="106">
        <f t="shared" ref="G327:T327" si="162">+F327+1</f>
        <v>2</v>
      </c>
      <c r="H327" s="106">
        <f t="shared" si="162"/>
        <v>3</v>
      </c>
      <c r="I327" s="106">
        <f t="shared" si="162"/>
        <v>4</v>
      </c>
      <c r="J327" s="106">
        <f t="shared" si="162"/>
        <v>5</v>
      </c>
      <c r="K327" s="106">
        <f t="shared" si="162"/>
        <v>6</v>
      </c>
      <c r="L327" s="106">
        <f t="shared" si="162"/>
        <v>7</v>
      </c>
      <c r="M327" s="106">
        <f t="shared" si="162"/>
        <v>8</v>
      </c>
      <c r="N327" s="106">
        <f t="shared" si="162"/>
        <v>9</v>
      </c>
      <c r="O327" s="106">
        <f t="shared" si="162"/>
        <v>10</v>
      </c>
      <c r="P327" s="106">
        <f t="shared" si="162"/>
        <v>11</v>
      </c>
      <c r="Q327" s="106">
        <f t="shared" si="162"/>
        <v>12</v>
      </c>
      <c r="R327" s="106">
        <f t="shared" si="162"/>
        <v>13</v>
      </c>
      <c r="S327" s="106">
        <f t="shared" si="162"/>
        <v>14</v>
      </c>
      <c r="T327" s="107">
        <f t="shared" si="162"/>
        <v>15</v>
      </c>
    </row>
    <row r="328" spans="1:21">
      <c r="C328" s="110">
        <v>0</v>
      </c>
      <c r="D328" s="108" t="s">
        <v>87</v>
      </c>
      <c r="E328" s="167">
        <f>F328</f>
        <v>0</v>
      </c>
      <c r="F328" s="155">
        <f>F117*'3. PREÇOS INSUMOS'!G51</f>
        <v>0</v>
      </c>
      <c r="G328" s="155">
        <f>G117*'3. PREÇOS INSUMOS'!H51</f>
        <v>0</v>
      </c>
      <c r="H328" s="155">
        <f>H117*'3. PREÇOS INSUMOS'!I51</f>
        <v>0</v>
      </c>
      <c r="I328" s="155">
        <f>I117*'3. PREÇOS INSUMOS'!J51</f>
        <v>0</v>
      </c>
      <c r="J328" s="155">
        <f>J117*'3. PREÇOS INSUMOS'!K51</f>
        <v>1236000</v>
      </c>
      <c r="K328" s="155">
        <f>K117*'3. PREÇOS INSUMOS'!L51</f>
        <v>0</v>
      </c>
      <c r="L328" s="155">
        <f>L117*'3. PREÇOS INSUMOS'!M51</f>
        <v>0</v>
      </c>
      <c r="M328" s="155">
        <f>M117*'3. PREÇOS INSUMOS'!N51</f>
        <v>0</v>
      </c>
      <c r="N328" s="155">
        <f>N117*'3. PREÇOS INSUMOS'!O51</f>
        <v>0</v>
      </c>
      <c r="O328" s="155">
        <f>O117*'3. PREÇOS INSUMOS'!P51</f>
        <v>0</v>
      </c>
      <c r="P328" s="155">
        <f>P117*'3. PREÇOS INSUMOS'!Q51</f>
        <v>0</v>
      </c>
      <c r="Q328" s="155">
        <f>Q117*'3. PREÇOS INSUMOS'!R51</f>
        <v>0</v>
      </c>
      <c r="R328" s="155">
        <f>R117*'3. PREÇOS INSUMOS'!S51</f>
        <v>1236000</v>
      </c>
      <c r="S328" s="155">
        <f>S117*'3. PREÇOS INSUMOS'!T51</f>
        <v>0</v>
      </c>
      <c r="T328" s="156">
        <f>T117*'3. PREÇOS INSUMOS'!U51</f>
        <v>0</v>
      </c>
      <c r="U328" s="159"/>
    </row>
    <row r="329" spans="1:21" ht="18" customHeight="1">
      <c r="C329" s="110">
        <v>1</v>
      </c>
      <c r="D329" s="108" t="s">
        <v>89</v>
      </c>
      <c r="E329" s="167">
        <f t="shared" ref="E329:E338" si="163">F329</f>
        <v>0</v>
      </c>
      <c r="F329" s="155">
        <f>F118*'3. PREÇOS INSUMOS'!G52</f>
        <v>0</v>
      </c>
      <c r="G329" s="155">
        <f>G118*'3. PREÇOS INSUMOS'!H52</f>
        <v>0</v>
      </c>
      <c r="H329" s="155">
        <f>H118*'3. PREÇOS INSUMOS'!I52</f>
        <v>0</v>
      </c>
      <c r="I329" s="155">
        <f>I118*'3. PREÇOS INSUMOS'!J52</f>
        <v>0</v>
      </c>
      <c r="J329" s="155">
        <f>J118*'3. PREÇOS INSUMOS'!K52</f>
        <v>0</v>
      </c>
      <c r="K329" s="155">
        <f>K118*'3. PREÇOS INSUMOS'!L52</f>
        <v>1002533.3333333334</v>
      </c>
      <c r="L329" s="155">
        <f>L118*'3. PREÇOS INSUMOS'!M52</f>
        <v>0</v>
      </c>
      <c r="M329" s="155">
        <f>M118*'3. PREÇOS INSUMOS'!N52</f>
        <v>0</v>
      </c>
      <c r="N329" s="155">
        <f>N118*'3. PREÇOS INSUMOS'!O52</f>
        <v>0</v>
      </c>
      <c r="O329" s="155">
        <f>O118*'3. PREÇOS INSUMOS'!P52</f>
        <v>0</v>
      </c>
      <c r="P329" s="155">
        <f>P118*'3. PREÇOS INSUMOS'!Q52</f>
        <v>0</v>
      </c>
      <c r="Q329" s="155">
        <f>Q118*'3. PREÇOS INSUMOS'!R52</f>
        <v>0</v>
      </c>
      <c r="R329" s="155">
        <f>R118*'3. PREÇOS INSUMOS'!S52</f>
        <v>0</v>
      </c>
      <c r="S329" s="155">
        <f>S118*'3. PREÇOS INSUMOS'!T52</f>
        <v>1002533.3333333334</v>
      </c>
      <c r="T329" s="156">
        <f>T118*'3. PREÇOS INSUMOS'!U52</f>
        <v>0</v>
      </c>
      <c r="U329" s="159"/>
    </row>
    <row r="330" spans="1:21">
      <c r="C330" s="110">
        <v>2</v>
      </c>
      <c r="D330" s="108" t="s">
        <v>90</v>
      </c>
      <c r="E330" s="167">
        <f t="shared" si="163"/>
        <v>0</v>
      </c>
      <c r="F330" s="155">
        <f>F119*'3. PREÇOS INSUMOS'!G53</f>
        <v>0</v>
      </c>
      <c r="G330" s="155">
        <f>G119*'3. PREÇOS INSUMOS'!H53</f>
        <v>0</v>
      </c>
      <c r="H330" s="155">
        <f>H119*'3. PREÇOS INSUMOS'!I53</f>
        <v>0</v>
      </c>
      <c r="I330" s="155">
        <f>I119*'3. PREÇOS INSUMOS'!J53</f>
        <v>0</v>
      </c>
      <c r="J330" s="155">
        <f>J119*'3. PREÇOS INSUMOS'!K53</f>
        <v>0</v>
      </c>
      <c r="K330" s="155">
        <f>K119*'3. PREÇOS INSUMOS'!L53</f>
        <v>0</v>
      </c>
      <c r="L330" s="155">
        <f>L119*'3. PREÇOS INSUMOS'!M53</f>
        <v>798250</v>
      </c>
      <c r="M330" s="155">
        <f>M119*'3. PREÇOS INSUMOS'!N53</f>
        <v>0</v>
      </c>
      <c r="N330" s="155">
        <f>N119*'3. PREÇOS INSUMOS'!O53</f>
        <v>0</v>
      </c>
      <c r="O330" s="155">
        <f>O119*'3. PREÇOS INSUMOS'!P53</f>
        <v>0</v>
      </c>
      <c r="P330" s="155">
        <f>P119*'3. PREÇOS INSUMOS'!Q53</f>
        <v>0</v>
      </c>
      <c r="Q330" s="155">
        <f>Q119*'3. PREÇOS INSUMOS'!R53</f>
        <v>0</v>
      </c>
      <c r="R330" s="155">
        <f>R119*'3. PREÇOS INSUMOS'!S53</f>
        <v>0</v>
      </c>
      <c r="S330" s="155">
        <f>S119*'3. PREÇOS INSUMOS'!T53</f>
        <v>0</v>
      </c>
      <c r="T330" s="156">
        <f>T119*'3. PREÇOS INSUMOS'!U53</f>
        <v>798250</v>
      </c>
      <c r="U330" s="159"/>
    </row>
    <row r="331" spans="1:21">
      <c r="C331" s="110">
        <v>3</v>
      </c>
      <c r="D331" s="108" t="s">
        <v>91</v>
      </c>
      <c r="E331" s="167">
        <f t="shared" si="163"/>
        <v>0</v>
      </c>
      <c r="F331" s="155">
        <f>F120*'3. PREÇOS INSUMOS'!G54</f>
        <v>0</v>
      </c>
      <c r="G331" s="155">
        <f>G120*'3. PREÇOS INSUMOS'!H54</f>
        <v>0</v>
      </c>
      <c r="H331" s="155">
        <f>H120*'3. PREÇOS INSUMOS'!I54</f>
        <v>0</v>
      </c>
      <c r="I331" s="155">
        <f>I120*'3. PREÇOS INSUMOS'!J54</f>
        <v>0</v>
      </c>
      <c r="J331" s="155">
        <f>J120*'3. PREÇOS INSUMOS'!K54</f>
        <v>0</v>
      </c>
      <c r="K331" s="155">
        <f>K120*'3. PREÇOS INSUMOS'!L54</f>
        <v>0</v>
      </c>
      <c r="L331" s="155">
        <f>L120*'3. PREÇOS INSUMOS'!M54</f>
        <v>0</v>
      </c>
      <c r="M331" s="155">
        <f>M120*'3. PREÇOS INSUMOS'!N54</f>
        <v>623150</v>
      </c>
      <c r="N331" s="155">
        <f>N120*'3. PREÇOS INSUMOS'!O54</f>
        <v>0</v>
      </c>
      <c r="O331" s="155">
        <f>O120*'3. PREÇOS INSUMOS'!P54</f>
        <v>0</v>
      </c>
      <c r="P331" s="155">
        <f>P120*'3. PREÇOS INSUMOS'!Q54</f>
        <v>0</v>
      </c>
      <c r="Q331" s="155">
        <f>Q120*'3. PREÇOS INSUMOS'!R54</f>
        <v>0</v>
      </c>
      <c r="R331" s="155">
        <f>R120*'3. PREÇOS INSUMOS'!S54</f>
        <v>0</v>
      </c>
      <c r="S331" s="155">
        <f>S120*'3. PREÇOS INSUMOS'!T54</f>
        <v>0</v>
      </c>
      <c r="T331" s="156">
        <f>T120*'3. PREÇOS INSUMOS'!U54</f>
        <v>0</v>
      </c>
      <c r="U331" s="159"/>
    </row>
    <row r="332" spans="1:21">
      <c r="C332" s="110">
        <v>4</v>
      </c>
      <c r="D332" s="108" t="s">
        <v>92</v>
      </c>
      <c r="E332" s="167">
        <f t="shared" si="163"/>
        <v>0</v>
      </c>
      <c r="F332" s="155">
        <f>F121*'3. PREÇOS INSUMOS'!G55</f>
        <v>0</v>
      </c>
      <c r="G332" s="155">
        <f>G121*'3. PREÇOS INSUMOS'!H55</f>
        <v>0</v>
      </c>
      <c r="H332" s="155">
        <f>H121*'3. PREÇOS INSUMOS'!I55</f>
        <v>0</v>
      </c>
      <c r="I332" s="155">
        <f>I121*'3. PREÇOS INSUMOS'!J55</f>
        <v>0</v>
      </c>
      <c r="J332" s="155">
        <f>J121*'3. PREÇOS INSUMOS'!K55</f>
        <v>0</v>
      </c>
      <c r="K332" s="155">
        <f>K121*'3. PREÇOS INSUMOS'!L55</f>
        <v>0</v>
      </c>
      <c r="L332" s="155">
        <f>L121*'3. PREÇOS INSUMOS'!M55</f>
        <v>0</v>
      </c>
      <c r="M332" s="155">
        <f>M121*'3. PREÇOS INSUMOS'!N55</f>
        <v>0</v>
      </c>
      <c r="N332" s="155">
        <f>N121*'3. PREÇOS INSUMOS'!O55</f>
        <v>477233.33333333326</v>
      </c>
      <c r="O332" s="155">
        <f>O121*'3. PREÇOS INSUMOS'!P55</f>
        <v>0</v>
      </c>
      <c r="P332" s="155">
        <f>P121*'3. PREÇOS INSUMOS'!Q55</f>
        <v>0</v>
      </c>
      <c r="Q332" s="155">
        <f>Q121*'3. PREÇOS INSUMOS'!R55</f>
        <v>0</v>
      </c>
      <c r="R332" s="155">
        <f>R121*'3. PREÇOS INSUMOS'!S55</f>
        <v>0</v>
      </c>
      <c r="S332" s="155">
        <f>S121*'3. PREÇOS INSUMOS'!T55</f>
        <v>0</v>
      </c>
      <c r="T332" s="156">
        <f>T121*'3. PREÇOS INSUMOS'!U55</f>
        <v>0</v>
      </c>
      <c r="U332" s="159"/>
    </row>
    <row r="333" spans="1:21">
      <c r="C333" s="110">
        <v>5</v>
      </c>
      <c r="D333" s="108" t="s">
        <v>93</v>
      </c>
      <c r="E333" s="167">
        <f t="shared" si="163"/>
        <v>360499.99999999994</v>
      </c>
      <c r="F333" s="155">
        <f>F122*'3. PREÇOS INSUMOS'!G56</f>
        <v>360499.99999999994</v>
      </c>
      <c r="G333" s="155">
        <f>G122*'3. PREÇOS INSUMOS'!H56</f>
        <v>0</v>
      </c>
      <c r="H333" s="155">
        <f>H122*'3. PREÇOS INSUMOS'!I56</f>
        <v>0</v>
      </c>
      <c r="I333" s="155">
        <f>I122*'3. PREÇOS INSUMOS'!J56</f>
        <v>0</v>
      </c>
      <c r="J333" s="155">
        <f>J122*'3. PREÇOS INSUMOS'!K56</f>
        <v>0</v>
      </c>
      <c r="K333" s="155">
        <f>K122*'3. PREÇOS INSUMOS'!L56</f>
        <v>0</v>
      </c>
      <c r="L333" s="155">
        <f>L122*'3. PREÇOS INSUMOS'!M56</f>
        <v>0</v>
      </c>
      <c r="M333" s="155">
        <f>M122*'3. PREÇOS INSUMOS'!N56</f>
        <v>0</v>
      </c>
      <c r="N333" s="155">
        <f>N122*'3. PREÇOS INSUMOS'!O56</f>
        <v>0</v>
      </c>
      <c r="O333" s="155">
        <f>O122*'3. PREÇOS INSUMOS'!P56</f>
        <v>360499.99999999994</v>
      </c>
      <c r="P333" s="155">
        <f>P122*'3. PREÇOS INSUMOS'!Q56</f>
        <v>0</v>
      </c>
      <c r="Q333" s="155">
        <f>Q122*'3. PREÇOS INSUMOS'!R56</f>
        <v>0</v>
      </c>
      <c r="R333" s="155">
        <f>R122*'3. PREÇOS INSUMOS'!S56</f>
        <v>0</v>
      </c>
      <c r="S333" s="155">
        <f>S122*'3. PREÇOS INSUMOS'!T56</f>
        <v>0</v>
      </c>
      <c r="T333" s="156">
        <f>T122*'3. PREÇOS INSUMOS'!U56</f>
        <v>0</v>
      </c>
      <c r="U333" s="159"/>
    </row>
    <row r="334" spans="1:21">
      <c r="C334" s="110">
        <v>6</v>
      </c>
      <c r="D334" s="108" t="s">
        <v>94</v>
      </c>
      <c r="E334" s="167">
        <f t="shared" si="163"/>
        <v>0</v>
      </c>
      <c r="F334" s="155">
        <f>F123*'3. PREÇOS INSUMOS'!G57</f>
        <v>0</v>
      </c>
      <c r="G334" s="155">
        <f>G123*'3. PREÇOS INSUMOS'!H57</f>
        <v>272949.99999999994</v>
      </c>
      <c r="H334" s="155">
        <f>H123*'3. PREÇOS INSUMOS'!I57</f>
        <v>0</v>
      </c>
      <c r="I334" s="155">
        <f>I123*'3. PREÇOS INSUMOS'!J57</f>
        <v>0</v>
      </c>
      <c r="J334" s="155">
        <f>J123*'3. PREÇOS INSUMOS'!K57</f>
        <v>0</v>
      </c>
      <c r="K334" s="155">
        <f>K123*'3. PREÇOS INSUMOS'!L57</f>
        <v>0</v>
      </c>
      <c r="L334" s="155">
        <f>L123*'3. PREÇOS INSUMOS'!M57</f>
        <v>0</v>
      </c>
      <c r="M334" s="155">
        <f>M123*'3. PREÇOS INSUMOS'!N57</f>
        <v>0</v>
      </c>
      <c r="N334" s="155">
        <f>N123*'3. PREÇOS INSUMOS'!O57</f>
        <v>0</v>
      </c>
      <c r="O334" s="155">
        <f>O123*'3. PREÇOS INSUMOS'!P57</f>
        <v>0</v>
      </c>
      <c r="P334" s="155">
        <f>P123*'3. PREÇOS INSUMOS'!Q57</f>
        <v>272949.99999999994</v>
      </c>
      <c r="Q334" s="155">
        <f>Q123*'3. PREÇOS INSUMOS'!R57</f>
        <v>0</v>
      </c>
      <c r="R334" s="155">
        <f>R123*'3. PREÇOS INSUMOS'!S57</f>
        <v>0</v>
      </c>
      <c r="S334" s="155">
        <f>S123*'3. PREÇOS INSUMOS'!T57</f>
        <v>0</v>
      </c>
      <c r="T334" s="156">
        <f>T123*'3. PREÇOS INSUMOS'!U57</f>
        <v>0</v>
      </c>
      <c r="U334" s="159"/>
    </row>
    <row r="335" spans="1:21">
      <c r="C335" s="110">
        <v>7</v>
      </c>
      <c r="D335" s="108" t="s">
        <v>95</v>
      </c>
      <c r="E335" s="167">
        <f t="shared" si="163"/>
        <v>0</v>
      </c>
      <c r="F335" s="155">
        <f>F124*'3. PREÇOS INSUMOS'!G58</f>
        <v>0</v>
      </c>
      <c r="G335" s="155">
        <f>G124*'3. PREÇOS INSUMOS'!H58</f>
        <v>0</v>
      </c>
      <c r="H335" s="155">
        <f>H124*'3. PREÇOS INSUMOS'!I58</f>
        <v>214583.33333333328</v>
      </c>
      <c r="I335" s="155">
        <f>I124*'3. PREÇOS INSUMOS'!J58</f>
        <v>0</v>
      </c>
      <c r="J335" s="155">
        <f>J124*'3. PREÇOS INSUMOS'!K58</f>
        <v>0</v>
      </c>
      <c r="K335" s="155">
        <f>K124*'3. PREÇOS INSUMOS'!L58</f>
        <v>0</v>
      </c>
      <c r="L335" s="155">
        <f>L124*'3. PREÇOS INSUMOS'!M58</f>
        <v>0</v>
      </c>
      <c r="M335" s="155">
        <f>M124*'3. PREÇOS INSUMOS'!N58</f>
        <v>0</v>
      </c>
      <c r="N335" s="155">
        <f>N124*'3. PREÇOS INSUMOS'!O58</f>
        <v>0</v>
      </c>
      <c r="O335" s="155">
        <f>O124*'3. PREÇOS INSUMOS'!P58</f>
        <v>0</v>
      </c>
      <c r="P335" s="155">
        <f>P124*'3. PREÇOS INSUMOS'!Q58</f>
        <v>0</v>
      </c>
      <c r="Q335" s="155">
        <f>Q124*'3. PREÇOS INSUMOS'!R58</f>
        <v>214583.33333333328</v>
      </c>
      <c r="R335" s="155">
        <f>R124*'3. PREÇOS INSUMOS'!S58</f>
        <v>0</v>
      </c>
      <c r="S335" s="155">
        <f>S124*'3. PREÇOS INSUMOS'!T58</f>
        <v>0</v>
      </c>
      <c r="T335" s="156">
        <f>T124*'3. PREÇOS INSUMOS'!U58</f>
        <v>0</v>
      </c>
      <c r="U335" s="159"/>
    </row>
    <row r="336" spans="1:21">
      <c r="C336" s="121">
        <v>8</v>
      </c>
      <c r="D336" s="122" t="s">
        <v>96</v>
      </c>
      <c r="E336" s="169">
        <f t="shared" si="163"/>
        <v>0</v>
      </c>
      <c r="F336" s="170">
        <f>F125*'3. PREÇOS INSUMOS'!G59</f>
        <v>0</v>
      </c>
      <c r="G336" s="170">
        <f>G125*'3. PREÇOS INSUMOS'!H59</f>
        <v>0</v>
      </c>
      <c r="H336" s="170">
        <f>H125*'3. PREÇOS INSUMOS'!I59</f>
        <v>0</v>
      </c>
      <c r="I336" s="170">
        <f>I125*'3. PREÇOS INSUMOS'!J59</f>
        <v>185399.99999999997</v>
      </c>
      <c r="J336" s="170">
        <f>J125*'3. PREÇOS INSUMOS'!K59</f>
        <v>0</v>
      </c>
      <c r="K336" s="170">
        <f>K125*'3. PREÇOS INSUMOS'!L59</f>
        <v>0</v>
      </c>
      <c r="L336" s="170">
        <f>L125*'3. PREÇOS INSUMOS'!M59</f>
        <v>0</v>
      </c>
      <c r="M336" s="170">
        <f>M125*'3. PREÇOS INSUMOS'!N59</f>
        <v>0</v>
      </c>
      <c r="N336" s="170">
        <f>N125*'3. PREÇOS INSUMOS'!O59</f>
        <v>0</v>
      </c>
      <c r="O336" s="170">
        <f>O125*'3. PREÇOS INSUMOS'!P59</f>
        <v>0</v>
      </c>
      <c r="P336" s="170">
        <f>P125*'3. PREÇOS INSUMOS'!Q59</f>
        <v>0</v>
      </c>
      <c r="Q336" s="170">
        <f>Q125*'3. PREÇOS INSUMOS'!R59</f>
        <v>0</v>
      </c>
      <c r="R336" s="170">
        <f>R125*'3. PREÇOS INSUMOS'!S59</f>
        <v>0</v>
      </c>
      <c r="S336" s="170">
        <f>S125*'3. PREÇOS INSUMOS'!T59</f>
        <v>0</v>
      </c>
      <c r="T336" s="171">
        <f>T125*'3. PREÇOS INSUMOS'!U59</f>
        <v>0</v>
      </c>
      <c r="U336" s="159"/>
    </row>
    <row r="337" spans="1:21">
      <c r="C337" s="121">
        <v>9</v>
      </c>
      <c r="D337" s="122" t="s">
        <v>97</v>
      </c>
      <c r="E337" s="169">
        <f t="shared" si="163"/>
        <v>0</v>
      </c>
      <c r="F337" s="170">
        <f>F126*'3. PREÇOS INSUMOS'!G60</f>
        <v>0</v>
      </c>
      <c r="G337" s="170">
        <f>G126*'3. PREÇOS INSUMOS'!H60</f>
        <v>0</v>
      </c>
      <c r="H337" s="170">
        <f>H126*'3. PREÇOS INSUMOS'!I60</f>
        <v>0</v>
      </c>
      <c r="I337" s="170">
        <f>I126*'3. PREÇOS INSUMOS'!J60</f>
        <v>0</v>
      </c>
      <c r="J337" s="170">
        <f>J126*'3. PREÇOS INSUMOS'!K60</f>
        <v>0</v>
      </c>
      <c r="K337" s="170">
        <f>K126*'3. PREÇOS INSUMOS'!L60</f>
        <v>0</v>
      </c>
      <c r="L337" s="170">
        <f>L126*'3. PREÇOS INSUMOS'!M60</f>
        <v>0</v>
      </c>
      <c r="M337" s="170">
        <f>M126*'3. PREÇOS INSUMOS'!N60</f>
        <v>0</v>
      </c>
      <c r="N337" s="170">
        <f>N126*'3. PREÇOS INSUMOS'!O60</f>
        <v>0</v>
      </c>
      <c r="O337" s="170">
        <f>O126*'3. PREÇOS INSUMOS'!P60</f>
        <v>0</v>
      </c>
      <c r="P337" s="170">
        <f>P126*'3. PREÇOS INSUMOS'!Q60</f>
        <v>0</v>
      </c>
      <c r="Q337" s="170">
        <f>Q126*'3. PREÇOS INSUMOS'!R60</f>
        <v>0</v>
      </c>
      <c r="R337" s="170">
        <f>R126*'3. PREÇOS INSUMOS'!S60</f>
        <v>0</v>
      </c>
      <c r="S337" s="170">
        <f>S126*'3. PREÇOS INSUMOS'!T60</f>
        <v>0</v>
      </c>
      <c r="T337" s="171">
        <f>T126*'3. PREÇOS INSUMOS'!U60</f>
        <v>0</v>
      </c>
      <c r="U337" s="159"/>
    </row>
    <row r="338" spans="1:21">
      <c r="C338" s="121">
        <v>10</v>
      </c>
      <c r="D338" s="123" t="s">
        <v>98</v>
      </c>
      <c r="E338" s="169">
        <f t="shared" si="163"/>
        <v>0</v>
      </c>
      <c r="F338" s="170">
        <f>F127*'3. PREÇOS INSUMOS'!G61</f>
        <v>0</v>
      </c>
      <c r="G338" s="170">
        <f>G127*'3. PREÇOS INSUMOS'!H61</f>
        <v>0</v>
      </c>
      <c r="H338" s="170">
        <f>H127*'3. PREÇOS INSUMOS'!I61</f>
        <v>0</v>
      </c>
      <c r="I338" s="170">
        <f>I127*'3. PREÇOS INSUMOS'!J61</f>
        <v>0</v>
      </c>
      <c r="J338" s="170">
        <f>J127*'3. PREÇOS INSUMOS'!K61</f>
        <v>0</v>
      </c>
      <c r="K338" s="170">
        <f>K127*'3. PREÇOS INSUMOS'!L61</f>
        <v>0</v>
      </c>
      <c r="L338" s="170">
        <f>L127*'3. PREÇOS INSUMOS'!M61</f>
        <v>0</v>
      </c>
      <c r="M338" s="170">
        <f>M127*'3. PREÇOS INSUMOS'!N61</f>
        <v>0</v>
      </c>
      <c r="N338" s="170">
        <f>N127*'3. PREÇOS INSUMOS'!O61</f>
        <v>0</v>
      </c>
      <c r="O338" s="170">
        <f>O127*'3. PREÇOS INSUMOS'!P61</f>
        <v>0</v>
      </c>
      <c r="P338" s="170">
        <f>P127*'3. PREÇOS INSUMOS'!Q61</f>
        <v>0</v>
      </c>
      <c r="Q338" s="170">
        <f>Q127*'3. PREÇOS INSUMOS'!R61</f>
        <v>0</v>
      </c>
      <c r="R338" s="170">
        <f>R127*'3. PREÇOS INSUMOS'!S61</f>
        <v>0</v>
      </c>
      <c r="S338" s="170">
        <f>S127*'3. PREÇOS INSUMOS'!T61</f>
        <v>0</v>
      </c>
      <c r="T338" s="171">
        <f>T127*'3. PREÇOS INSUMOS'!U61</f>
        <v>0</v>
      </c>
      <c r="U338" s="159"/>
    </row>
    <row r="339" spans="1:21">
      <c r="A339" s="4"/>
      <c r="B339" s="4"/>
      <c r="C339" s="111" t="s">
        <v>88</v>
      </c>
      <c r="D339" s="112"/>
      <c r="E339" s="157">
        <f>SUM(E328:E338)</f>
        <v>360499.99999999994</v>
      </c>
      <c r="F339" s="157">
        <f>SUM(F328:F338)</f>
        <v>360499.99999999994</v>
      </c>
      <c r="G339" s="157">
        <f t="shared" ref="G339:T339" si="164">SUM(G328:G338)</f>
        <v>272949.99999999994</v>
      </c>
      <c r="H339" s="157">
        <f t="shared" si="164"/>
        <v>214583.33333333328</v>
      </c>
      <c r="I339" s="157">
        <f t="shared" si="164"/>
        <v>185399.99999999997</v>
      </c>
      <c r="J339" s="157">
        <f t="shared" si="164"/>
        <v>1236000</v>
      </c>
      <c r="K339" s="157">
        <f t="shared" si="164"/>
        <v>1002533.3333333334</v>
      </c>
      <c r="L339" s="157">
        <f t="shared" si="164"/>
        <v>798250</v>
      </c>
      <c r="M339" s="157">
        <f t="shared" si="164"/>
        <v>623150</v>
      </c>
      <c r="N339" s="157">
        <f t="shared" si="164"/>
        <v>477233.33333333326</v>
      </c>
      <c r="O339" s="157">
        <f t="shared" si="164"/>
        <v>360499.99999999994</v>
      </c>
      <c r="P339" s="157">
        <f t="shared" si="164"/>
        <v>272949.99999999994</v>
      </c>
      <c r="Q339" s="157">
        <f t="shared" si="164"/>
        <v>214583.33333333328</v>
      </c>
      <c r="R339" s="157">
        <f t="shared" si="164"/>
        <v>1236000</v>
      </c>
      <c r="S339" s="157">
        <f t="shared" si="164"/>
        <v>1002533.3333333334</v>
      </c>
      <c r="T339" s="158">
        <f t="shared" si="164"/>
        <v>798250</v>
      </c>
      <c r="U339" s="159"/>
    </row>
    <row r="340" spans="1:21" s="4" customFormat="1">
      <c r="A340" s="2"/>
      <c r="B340" s="2"/>
      <c r="C340" s="2"/>
      <c r="D340" s="2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115"/>
      <c r="U340" s="159"/>
    </row>
    <row r="341" spans="1:21" s="4" customFormat="1" ht="15.75">
      <c r="A341" s="2">
        <v>2</v>
      </c>
      <c r="B341" s="2"/>
      <c r="C341" s="718" t="str">
        <f>"7.2.3.2 - "&amp;VLOOKUP(A341,TIPOLOGIA!$D$10:$E$12,2,0)</f>
        <v>7.2.3.2 - CONVENCIONAL</v>
      </c>
      <c r="D341" s="718"/>
      <c r="E341" s="718"/>
      <c r="F341" s="718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115"/>
      <c r="U341" s="159"/>
    </row>
    <row r="342" spans="1:21" ht="18" customHeight="1">
      <c r="C342" s="705" t="s">
        <v>86</v>
      </c>
      <c r="D342" s="719"/>
      <c r="E342" s="105" t="s">
        <v>99</v>
      </c>
      <c r="F342" s="106">
        <v>1</v>
      </c>
      <c r="G342" s="106">
        <f t="shared" ref="G342:T342" si="165">+F342+1</f>
        <v>2</v>
      </c>
      <c r="H342" s="106">
        <f t="shared" si="165"/>
        <v>3</v>
      </c>
      <c r="I342" s="106">
        <f t="shared" si="165"/>
        <v>4</v>
      </c>
      <c r="J342" s="106">
        <f t="shared" si="165"/>
        <v>5</v>
      </c>
      <c r="K342" s="106">
        <f t="shared" si="165"/>
        <v>6</v>
      </c>
      <c r="L342" s="106">
        <f t="shared" si="165"/>
        <v>7</v>
      </c>
      <c r="M342" s="106">
        <f t="shared" si="165"/>
        <v>8</v>
      </c>
      <c r="N342" s="106">
        <f t="shared" si="165"/>
        <v>9</v>
      </c>
      <c r="O342" s="106">
        <f t="shared" si="165"/>
        <v>10</v>
      </c>
      <c r="P342" s="106">
        <f t="shared" si="165"/>
        <v>11</v>
      </c>
      <c r="Q342" s="106">
        <f t="shared" si="165"/>
        <v>12</v>
      </c>
      <c r="R342" s="106">
        <f t="shared" si="165"/>
        <v>13</v>
      </c>
      <c r="S342" s="106">
        <f t="shared" si="165"/>
        <v>14</v>
      </c>
      <c r="T342" s="107">
        <f t="shared" si="165"/>
        <v>15</v>
      </c>
      <c r="U342" s="159"/>
    </row>
    <row r="343" spans="1:21">
      <c r="C343" s="110">
        <v>0</v>
      </c>
      <c r="D343" s="108" t="s">
        <v>87</v>
      </c>
      <c r="E343" s="167">
        <f>F343</f>
        <v>0</v>
      </c>
      <c r="F343" s="155">
        <f>F133*'3. PREÇOS INSUMOS'!G66</f>
        <v>0</v>
      </c>
      <c r="G343" s="155">
        <f>G133*'3. PREÇOS INSUMOS'!H66</f>
        <v>1164000</v>
      </c>
      <c r="H343" s="155">
        <f>H133*'3. PREÇOS INSUMOS'!I66</f>
        <v>776000</v>
      </c>
      <c r="I343" s="155">
        <f>I133*'3. PREÇOS INSUMOS'!J66</f>
        <v>776000</v>
      </c>
      <c r="J343" s="155">
        <f>J133*'3. PREÇOS INSUMOS'!K66</f>
        <v>1164000</v>
      </c>
      <c r="K343" s="155">
        <f>K133*'3. PREÇOS INSUMOS'!L66</f>
        <v>0</v>
      </c>
      <c r="L343" s="155">
        <f>L133*'3. PREÇOS INSUMOS'!M66</f>
        <v>0</v>
      </c>
      <c r="M343" s="155">
        <f>M133*'3. PREÇOS INSUMOS'!N66</f>
        <v>0</v>
      </c>
      <c r="N343" s="155">
        <f>N133*'3. PREÇOS INSUMOS'!O66</f>
        <v>388000</v>
      </c>
      <c r="O343" s="155">
        <f>O133*'3. PREÇOS INSUMOS'!P66</f>
        <v>388000</v>
      </c>
      <c r="P343" s="155">
        <f>P133*'3. PREÇOS INSUMOS'!Q66</f>
        <v>1164000</v>
      </c>
      <c r="Q343" s="155">
        <f>Q133*'3. PREÇOS INSUMOS'!R66</f>
        <v>776000</v>
      </c>
      <c r="R343" s="155">
        <f>R133*'3. PREÇOS INSUMOS'!S66</f>
        <v>1164000</v>
      </c>
      <c r="S343" s="155">
        <f>S133*'3. PREÇOS INSUMOS'!T66</f>
        <v>0</v>
      </c>
      <c r="T343" s="156">
        <f>T133*'3. PREÇOS INSUMOS'!U66</f>
        <v>0</v>
      </c>
      <c r="U343" s="159"/>
    </row>
    <row r="344" spans="1:21" ht="18" customHeight="1">
      <c r="C344" s="110">
        <v>1</v>
      </c>
      <c r="D344" s="108" t="s">
        <v>89</v>
      </c>
      <c r="E344" s="167">
        <f t="shared" ref="E344:E353" si="166">F344</f>
        <v>0</v>
      </c>
      <c r="F344" s="155">
        <f>F134*'3. PREÇOS INSUMOS'!G67</f>
        <v>0</v>
      </c>
      <c r="G344" s="155">
        <f>G134*'3. PREÇOS INSUMOS'!H67</f>
        <v>0</v>
      </c>
      <c r="H344" s="155">
        <f>H134*'3. PREÇOS INSUMOS'!I67</f>
        <v>931200</v>
      </c>
      <c r="I344" s="155">
        <f>I134*'3. PREÇOS INSUMOS'!J67</f>
        <v>620800</v>
      </c>
      <c r="J344" s="155">
        <f>J134*'3. PREÇOS INSUMOS'!K67</f>
        <v>620800</v>
      </c>
      <c r="K344" s="155">
        <f>K134*'3. PREÇOS INSUMOS'!L67</f>
        <v>931200</v>
      </c>
      <c r="L344" s="155">
        <f>L134*'3. PREÇOS INSUMOS'!M67</f>
        <v>0</v>
      </c>
      <c r="M344" s="155">
        <f>M134*'3. PREÇOS INSUMOS'!N67</f>
        <v>0</v>
      </c>
      <c r="N344" s="155">
        <f>N134*'3. PREÇOS INSUMOS'!O67</f>
        <v>0</v>
      </c>
      <c r="O344" s="155">
        <f>O134*'3. PREÇOS INSUMOS'!P67</f>
        <v>310400</v>
      </c>
      <c r="P344" s="155">
        <f>P134*'3. PREÇOS INSUMOS'!Q67</f>
        <v>310400</v>
      </c>
      <c r="Q344" s="155">
        <f>Q134*'3. PREÇOS INSUMOS'!R67</f>
        <v>931200</v>
      </c>
      <c r="R344" s="155">
        <f>R134*'3. PREÇOS INSUMOS'!S67</f>
        <v>620800</v>
      </c>
      <c r="S344" s="155">
        <f>S134*'3. PREÇOS INSUMOS'!T67</f>
        <v>931200</v>
      </c>
      <c r="T344" s="156">
        <f>T134*'3. PREÇOS INSUMOS'!U67</f>
        <v>0</v>
      </c>
      <c r="U344" s="159"/>
    </row>
    <row r="345" spans="1:21">
      <c r="C345" s="110">
        <v>2</v>
      </c>
      <c r="D345" s="108" t="s">
        <v>90</v>
      </c>
      <c r="E345" s="167">
        <f t="shared" si="166"/>
        <v>0</v>
      </c>
      <c r="F345" s="155">
        <f>F135*'3. PREÇOS INSUMOS'!G68</f>
        <v>0</v>
      </c>
      <c r="G345" s="155">
        <f>G135*'3. PREÇOS INSUMOS'!H68</f>
        <v>0</v>
      </c>
      <c r="H345" s="155">
        <f>H135*'3. PREÇOS INSUMOS'!I68</f>
        <v>0</v>
      </c>
      <c r="I345" s="155">
        <f>I135*'3. PREÇOS INSUMOS'!J68</f>
        <v>727500</v>
      </c>
      <c r="J345" s="155">
        <f>J135*'3. PREÇOS INSUMOS'!K68</f>
        <v>485000</v>
      </c>
      <c r="K345" s="155">
        <f>K135*'3. PREÇOS INSUMOS'!L68</f>
        <v>485000</v>
      </c>
      <c r="L345" s="155">
        <f>L135*'3. PREÇOS INSUMOS'!M68</f>
        <v>727500</v>
      </c>
      <c r="M345" s="155">
        <f>M135*'3. PREÇOS INSUMOS'!N68</f>
        <v>0</v>
      </c>
      <c r="N345" s="155">
        <f>N135*'3. PREÇOS INSUMOS'!O68</f>
        <v>0</v>
      </c>
      <c r="O345" s="155">
        <f>O135*'3. PREÇOS INSUMOS'!P68</f>
        <v>0</v>
      </c>
      <c r="P345" s="155">
        <f>P135*'3. PREÇOS INSUMOS'!Q68</f>
        <v>242500</v>
      </c>
      <c r="Q345" s="155">
        <f>Q135*'3. PREÇOS INSUMOS'!R68</f>
        <v>242500</v>
      </c>
      <c r="R345" s="155">
        <f>R135*'3. PREÇOS INSUMOS'!S68</f>
        <v>727500</v>
      </c>
      <c r="S345" s="155">
        <f>S135*'3. PREÇOS INSUMOS'!T68</f>
        <v>485000</v>
      </c>
      <c r="T345" s="156">
        <f>T135*'3. PREÇOS INSUMOS'!U68</f>
        <v>727500</v>
      </c>
      <c r="U345" s="159"/>
    </row>
    <row r="346" spans="1:21">
      <c r="C346" s="110">
        <v>3</v>
      </c>
      <c r="D346" s="108" t="s">
        <v>91</v>
      </c>
      <c r="E346" s="167">
        <f t="shared" si="166"/>
        <v>0</v>
      </c>
      <c r="F346" s="155">
        <f>F136*'3. PREÇOS INSUMOS'!G69</f>
        <v>0</v>
      </c>
      <c r="G346" s="155">
        <f>G136*'3. PREÇOS INSUMOS'!H69</f>
        <v>0</v>
      </c>
      <c r="H346" s="155">
        <f>H136*'3. PREÇOS INSUMOS'!I69</f>
        <v>0</v>
      </c>
      <c r="I346" s="155">
        <f>I136*'3. PREÇOS INSUMOS'!J69</f>
        <v>0</v>
      </c>
      <c r="J346" s="155">
        <f>J136*'3. PREÇOS INSUMOS'!K69</f>
        <v>552900</v>
      </c>
      <c r="K346" s="155">
        <f>K136*'3. PREÇOS INSUMOS'!L69</f>
        <v>368600</v>
      </c>
      <c r="L346" s="155">
        <f>L136*'3. PREÇOS INSUMOS'!M69</f>
        <v>368600</v>
      </c>
      <c r="M346" s="155">
        <f>M136*'3. PREÇOS INSUMOS'!N69</f>
        <v>552900</v>
      </c>
      <c r="N346" s="155">
        <f>N136*'3. PREÇOS INSUMOS'!O69</f>
        <v>0</v>
      </c>
      <c r="O346" s="155">
        <f>O136*'3. PREÇOS INSUMOS'!P69</f>
        <v>0</v>
      </c>
      <c r="P346" s="155">
        <f>P136*'3. PREÇOS INSUMOS'!Q69</f>
        <v>0</v>
      </c>
      <c r="Q346" s="155">
        <f>Q136*'3. PREÇOS INSUMOS'!R69</f>
        <v>184300</v>
      </c>
      <c r="R346" s="155">
        <f>R136*'3. PREÇOS INSUMOS'!S69</f>
        <v>184300</v>
      </c>
      <c r="S346" s="155">
        <f>S136*'3. PREÇOS INSUMOS'!T69</f>
        <v>552900</v>
      </c>
      <c r="T346" s="156">
        <f>T136*'3. PREÇOS INSUMOS'!U69</f>
        <v>368600</v>
      </c>
      <c r="U346" s="159"/>
    </row>
    <row r="347" spans="1:21">
      <c r="C347" s="110">
        <v>4</v>
      </c>
      <c r="D347" s="108" t="s">
        <v>92</v>
      </c>
      <c r="E347" s="167">
        <f t="shared" si="166"/>
        <v>0</v>
      </c>
      <c r="F347" s="155">
        <f>F137*'3. PREÇOS INSUMOS'!G70</f>
        <v>0</v>
      </c>
      <c r="G347" s="155">
        <f>G137*'3. PREÇOS INSUMOS'!H70</f>
        <v>0</v>
      </c>
      <c r="H347" s="155">
        <f>H137*'3. PREÇOS INSUMOS'!I70</f>
        <v>0</v>
      </c>
      <c r="I347" s="155">
        <f>I137*'3. PREÇOS INSUMOS'!J70</f>
        <v>0</v>
      </c>
      <c r="J347" s="155">
        <f>J137*'3. PREÇOS INSUMOS'!K70</f>
        <v>0</v>
      </c>
      <c r="K347" s="155">
        <f>K137*'3. PREÇOS INSUMOS'!L70</f>
        <v>407400</v>
      </c>
      <c r="L347" s="155">
        <f>L137*'3. PREÇOS INSUMOS'!M70</f>
        <v>271600</v>
      </c>
      <c r="M347" s="155">
        <f>M137*'3. PREÇOS INSUMOS'!N70</f>
        <v>271600</v>
      </c>
      <c r="N347" s="155">
        <f>N137*'3. PREÇOS INSUMOS'!O70</f>
        <v>407400</v>
      </c>
      <c r="O347" s="155">
        <f>O137*'3. PREÇOS INSUMOS'!P70</f>
        <v>0</v>
      </c>
      <c r="P347" s="155">
        <f>P137*'3. PREÇOS INSUMOS'!Q70</f>
        <v>0</v>
      </c>
      <c r="Q347" s="155">
        <f>Q137*'3. PREÇOS INSUMOS'!R70</f>
        <v>0</v>
      </c>
      <c r="R347" s="155">
        <f>R137*'3. PREÇOS INSUMOS'!S70</f>
        <v>135800</v>
      </c>
      <c r="S347" s="155">
        <f>S137*'3. PREÇOS INSUMOS'!T70</f>
        <v>135800</v>
      </c>
      <c r="T347" s="156">
        <f>T137*'3. PREÇOS INSUMOS'!U70</f>
        <v>407400</v>
      </c>
      <c r="U347" s="159"/>
    </row>
    <row r="348" spans="1:21">
      <c r="C348" s="110">
        <v>5</v>
      </c>
      <c r="D348" s="108" t="s">
        <v>93</v>
      </c>
      <c r="E348" s="167">
        <f t="shared" si="166"/>
        <v>970000</v>
      </c>
      <c r="F348" s="155">
        <f>F138*'3. PREÇOS INSUMOS'!G71</f>
        <v>970000</v>
      </c>
      <c r="G348" s="155">
        <f>G138*'3. PREÇOS INSUMOS'!H71</f>
        <v>0</v>
      </c>
      <c r="H348" s="155">
        <f>H138*'3. PREÇOS INSUMOS'!I71</f>
        <v>0</v>
      </c>
      <c r="I348" s="155">
        <f>I138*'3. PREÇOS INSUMOS'!J71</f>
        <v>0</v>
      </c>
      <c r="J348" s="155">
        <f>J138*'3. PREÇOS INSUMOS'!K71</f>
        <v>0</v>
      </c>
      <c r="K348" s="155">
        <f>K138*'3. PREÇOS INSUMOS'!L71</f>
        <v>0</v>
      </c>
      <c r="L348" s="155">
        <f>L138*'3. PREÇOS INSUMOS'!M71</f>
        <v>291000</v>
      </c>
      <c r="M348" s="155">
        <f>M138*'3. PREÇOS INSUMOS'!N71</f>
        <v>194000</v>
      </c>
      <c r="N348" s="155">
        <f>N138*'3. PREÇOS INSUMOS'!O71</f>
        <v>194000</v>
      </c>
      <c r="O348" s="155">
        <f>O138*'3. PREÇOS INSUMOS'!P71</f>
        <v>291000</v>
      </c>
      <c r="P348" s="155">
        <f>P138*'3. PREÇOS INSUMOS'!Q71</f>
        <v>0</v>
      </c>
      <c r="Q348" s="155">
        <f>Q138*'3. PREÇOS INSUMOS'!R71</f>
        <v>0</v>
      </c>
      <c r="R348" s="155">
        <f>R138*'3. PREÇOS INSUMOS'!S71</f>
        <v>0</v>
      </c>
      <c r="S348" s="155">
        <f>S138*'3. PREÇOS INSUMOS'!T71</f>
        <v>97000</v>
      </c>
      <c r="T348" s="156">
        <f>T138*'3. PREÇOS INSUMOS'!U71</f>
        <v>97000</v>
      </c>
      <c r="U348" s="159"/>
    </row>
    <row r="349" spans="1:21">
      <c r="C349" s="110">
        <v>6</v>
      </c>
      <c r="D349" s="108" t="s">
        <v>94</v>
      </c>
      <c r="E349" s="167">
        <f t="shared" si="166"/>
        <v>0</v>
      </c>
      <c r="F349" s="155">
        <f>F139*'3. PREÇOS INSUMOS'!G72</f>
        <v>0</v>
      </c>
      <c r="G349" s="155">
        <f>G139*'3. PREÇOS INSUMOS'!H72</f>
        <v>475300</v>
      </c>
      <c r="H349" s="155">
        <f>H139*'3. PREÇOS INSUMOS'!I72</f>
        <v>0</v>
      </c>
      <c r="I349" s="155">
        <f>I139*'3. PREÇOS INSUMOS'!J72</f>
        <v>0</v>
      </c>
      <c r="J349" s="155">
        <f>J139*'3. PREÇOS INSUMOS'!K72</f>
        <v>0</v>
      </c>
      <c r="K349" s="155">
        <f>K139*'3. PREÇOS INSUMOS'!L72</f>
        <v>0</v>
      </c>
      <c r="L349" s="155">
        <f>L139*'3. PREÇOS INSUMOS'!M72</f>
        <v>0</v>
      </c>
      <c r="M349" s="155">
        <f>M139*'3. PREÇOS INSUMOS'!N72</f>
        <v>203700</v>
      </c>
      <c r="N349" s="155">
        <f>N139*'3. PREÇOS INSUMOS'!O72</f>
        <v>135800</v>
      </c>
      <c r="O349" s="155">
        <f>O139*'3. PREÇOS INSUMOS'!P72</f>
        <v>135800</v>
      </c>
      <c r="P349" s="155">
        <f>P139*'3. PREÇOS INSUMOS'!Q72</f>
        <v>203700</v>
      </c>
      <c r="Q349" s="155">
        <f>Q139*'3. PREÇOS INSUMOS'!R72</f>
        <v>0</v>
      </c>
      <c r="R349" s="155">
        <f>R139*'3. PREÇOS INSUMOS'!S72</f>
        <v>0</v>
      </c>
      <c r="S349" s="155">
        <f>S139*'3. PREÇOS INSUMOS'!T72</f>
        <v>0</v>
      </c>
      <c r="T349" s="156">
        <f>T139*'3. PREÇOS INSUMOS'!U72</f>
        <v>67900</v>
      </c>
      <c r="U349" s="159"/>
    </row>
    <row r="350" spans="1:21">
      <c r="C350" s="110">
        <v>7</v>
      </c>
      <c r="D350" s="108" t="s">
        <v>95</v>
      </c>
      <c r="E350" s="167">
        <f t="shared" si="166"/>
        <v>0</v>
      </c>
      <c r="F350" s="155">
        <f>F140*'3. PREÇOS INSUMOS'!G73</f>
        <v>0</v>
      </c>
      <c r="G350" s="155">
        <f>G140*'3. PREÇOS INSUMOS'!H73</f>
        <v>0</v>
      </c>
      <c r="H350" s="155">
        <f>H140*'3. PREÇOS INSUMOS'!I73</f>
        <v>242500</v>
      </c>
      <c r="I350" s="155">
        <f>I140*'3. PREÇOS INSUMOS'!J73</f>
        <v>0</v>
      </c>
      <c r="J350" s="155">
        <f>J140*'3. PREÇOS INSUMOS'!K73</f>
        <v>0</v>
      </c>
      <c r="K350" s="155">
        <f>K140*'3. PREÇOS INSUMOS'!L73</f>
        <v>0</v>
      </c>
      <c r="L350" s="155">
        <f>L140*'3. PREÇOS INSUMOS'!M73</f>
        <v>0</v>
      </c>
      <c r="M350" s="155">
        <f>M140*'3. PREÇOS INSUMOS'!N73</f>
        <v>0</v>
      </c>
      <c r="N350" s="155">
        <f>N140*'3. PREÇOS INSUMOS'!O73</f>
        <v>97000</v>
      </c>
      <c r="O350" s="155">
        <f>O140*'3. PREÇOS INSUMOS'!P73</f>
        <v>97000</v>
      </c>
      <c r="P350" s="155">
        <f>P140*'3. PREÇOS INSUMOS'!Q73</f>
        <v>97000</v>
      </c>
      <c r="Q350" s="155">
        <f>Q140*'3. PREÇOS INSUMOS'!R73</f>
        <v>145500</v>
      </c>
      <c r="R350" s="155">
        <f>R140*'3. PREÇOS INSUMOS'!S73</f>
        <v>0</v>
      </c>
      <c r="S350" s="155">
        <f>S140*'3. PREÇOS INSUMOS'!T73</f>
        <v>0</v>
      </c>
      <c r="T350" s="156">
        <f>T140*'3. PREÇOS INSUMOS'!U73</f>
        <v>0</v>
      </c>
      <c r="U350" s="159"/>
    </row>
    <row r="351" spans="1:21">
      <c r="C351" s="121">
        <v>8</v>
      </c>
      <c r="D351" s="122" t="s">
        <v>96</v>
      </c>
      <c r="E351" s="169">
        <f t="shared" si="166"/>
        <v>0</v>
      </c>
      <c r="F351" s="170">
        <f>F141*'3. PREÇOS INSUMOS'!G74</f>
        <v>0</v>
      </c>
      <c r="G351" s="170">
        <f>G141*'3. PREÇOS INSUMOS'!H74</f>
        <v>0</v>
      </c>
      <c r="H351" s="170">
        <f>H141*'3. PREÇOS INSUMOS'!I74</f>
        <v>0</v>
      </c>
      <c r="I351" s="170">
        <f>I141*'3. PREÇOS INSUMOS'!J74</f>
        <v>116400</v>
      </c>
      <c r="J351" s="170">
        <f>J141*'3. PREÇOS INSUMOS'!K74</f>
        <v>0</v>
      </c>
      <c r="K351" s="170">
        <f>K141*'3. PREÇOS INSUMOS'!L74</f>
        <v>0</v>
      </c>
      <c r="L351" s="170">
        <f>L141*'3. PREÇOS INSUMOS'!M74</f>
        <v>0</v>
      </c>
      <c r="M351" s="170">
        <f>M141*'3. PREÇOS INSUMOS'!N74</f>
        <v>0</v>
      </c>
      <c r="N351" s="170">
        <f>N141*'3. PREÇOS INSUMOS'!O74</f>
        <v>0</v>
      </c>
      <c r="O351" s="170">
        <f>O141*'3. PREÇOS INSUMOS'!P74</f>
        <v>38800</v>
      </c>
      <c r="P351" s="170">
        <f>P141*'3. PREÇOS INSUMOS'!Q74</f>
        <v>0</v>
      </c>
      <c r="Q351" s="170">
        <f>Q141*'3. PREÇOS INSUMOS'!R74</f>
        <v>0</v>
      </c>
      <c r="R351" s="170">
        <f>R141*'3. PREÇOS INSUMOS'!S74</f>
        <v>0</v>
      </c>
      <c r="S351" s="170">
        <f>S141*'3. PREÇOS INSUMOS'!T74</f>
        <v>0</v>
      </c>
      <c r="T351" s="171">
        <f>T141*'3. PREÇOS INSUMOS'!U74</f>
        <v>0</v>
      </c>
      <c r="U351" s="159"/>
    </row>
    <row r="352" spans="1:21">
      <c r="C352" s="121">
        <v>9</v>
      </c>
      <c r="D352" s="122" t="s">
        <v>97</v>
      </c>
      <c r="E352" s="169">
        <f t="shared" si="166"/>
        <v>0</v>
      </c>
      <c r="F352" s="170">
        <f>F142*'3. PREÇOS INSUMOS'!G75</f>
        <v>0</v>
      </c>
      <c r="G352" s="170">
        <f>G142*'3. PREÇOS INSUMOS'!H75</f>
        <v>0</v>
      </c>
      <c r="H352" s="170">
        <f>H142*'3. PREÇOS INSUMOS'!I75</f>
        <v>0</v>
      </c>
      <c r="I352" s="170">
        <f>I142*'3. PREÇOS INSUMOS'!J75</f>
        <v>0</v>
      </c>
      <c r="J352" s="170">
        <f>J142*'3. PREÇOS INSUMOS'!K75</f>
        <v>0</v>
      </c>
      <c r="K352" s="170">
        <f>K142*'3. PREÇOS INSUMOS'!L75</f>
        <v>0</v>
      </c>
      <c r="L352" s="170">
        <f>L142*'3. PREÇOS INSUMOS'!M75</f>
        <v>0</v>
      </c>
      <c r="M352" s="170">
        <f>M142*'3. PREÇOS INSUMOS'!N75</f>
        <v>0</v>
      </c>
      <c r="N352" s="170">
        <f>N142*'3. PREÇOS INSUMOS'!O75</f>
        <v>0</v>
      </c>
      <c r="O352" s="170">
        <f>O142*'3. PREÇOS INSUMOS'!P75</f>
        <v>0</v>
      </c>
      <c r="P352" s="170">
        <f>P142*'3. PREÇOS INSUMOS'!Q75</f>
        <v>0</v>
      </c>
      <c r="Q352" s="170">
        <f>Q142*'3. PREÇOS INSUMOS'!R75</f>
        <v>0</v>
      </c>
      <c r="R352" s="170">
        <f>R142*'3. PREÇOS INSUMOS'!S75</f>
        <v>0</v>
      </c>
      <c r="S352" s="170">
        <f>S142*'3. PREÇOS INSUMOS'!T75</f>
        <v>0</v>
      </c>
      <c r="T352" s="171">
        <f>T142*'3. PREÇOS INSUMOS'!U75</f>
        <v>0</v>
      </c>
      <c r="U352" s="159"/>
    </row>
    <row r="353" spans="1:21">
      <c r="C353" s="121">
        <v>10</v>
      </c>
      <c r="D353" s="123" t="s">
        <v>98</v>
      </c>
      <c r="E353" s="169">
        <f t="shared" si="166"/>
        <v>0</v>
      </c>
      <c r="F353" s="170">
        <f>F143*'3. PREÇOS INSUMOS'!G76</f>
        <v>0</v>
      </c>
      <c r="G353" s="170">
        <f>G143*'3. PREÇOS INSUMOS'!H76</f>
        <v>0</v>
      </c>
      <c r="H353" s="170">
        <f>H143*'3. PREÇOS INSUMOS'!I76</f>
        <v>0</v>
      </c>
      <c r="I353" s="170">
        <f>I143*'3. PREÇOS INSUMOS'!J76</f>
        <v>0</v>
      </c>
      <c r="J353" s="170">
        <f>J143*'3. PREÇOS INSUMOS'!K76</f>
        <v>0</v>
      </c>
      <c r="K353" s="170">
        <f>K143*'3. PREÇOS INSUMOS'!L76</f>
        <v>0</v>
      </c>
      <c r="L353" s="170">
        <f>L143*'3. PREÇOS INSUMOS'!M76</f>
        <v>0</v>
      </c>
      <c r="M353" s="170">
        <f>M143*'3. PREÇOS INSUMOS'!N76</f>
        <v>0</v>
      </c>
      <c r="N353" s="170">
        <f>N143*'3. PREÇOS INSUMOS'!O76</f>
        <v>0</v>
      </c>
      <c r="O353" s="170">
        <f>O143*'3. PREÇOS INSUMOS'!P76</f>
        <v>0</v>
      </c>
      <c r="P353" s="170">
        <f>P143*'3. PREÇOS INSUMOS'!Q76</f>
        <v>0</v>
      </c>
      <c r="Q353" s="170">
        <f>Q143*'3. PREÇOS INSUMOS'!R76</f>
        <v>0</v>
      </c>
      <c r="R353" s="170">
        <f>R143*'3. PREÇOS INSUMOS'!S76</f>
        <v>0</v>
      </c>
      <c r="S353" s="170">
        <f>S143*'3. PREÇOS INSUMOS'!T76</f>
        <v>0</v>
      </c>
      <c r="T353" s="171">
        <f>T143*'3. PREÇOS INSUMOS'!U76</f>
        <v>0</v>
      </c>
      <c r="U353" s="159"/>
    </row>
    <row r="354" spans="1:21">
      <c r="A354" s="4"/>
      <c r="B354" s="4"/>
      <c r="C354" s="111" t="s">
        <v>88</v>
      </c>
      <c r="D354" s="112"/>
      <c r="E354" s="157">
        <f>SUM(E343:E353)</f>
        <v>970000</v>
      </c>
      <c r="F354" s="157">
        <f t="shared" ref="F354:T354" si="167">SUM(F343:F353)</f>
        <v>970000</v>
      </c>
      <c r="G354" s="157">
        <f t="shared" si="167"/>
        <v>1639300</v>
      </c>
      <c r="H354" s="157">
        <f t="shared" si="167"/>
        <v>1949700</v>
      </c>
      <c r="I354" s="157">
        <f t="shared" si="167"/>
        <v>2240700</v>
      </c>
      <c r="J354" s="157">
        <f t="shared" si="167"/>
        <v>2822700</v>
      </c>
      <c r="K354" s="157">
        <f t="shared" si="167"/>
        <v>2192200</v>
      </c>
      <c r="L354" s="157">
        <f t="shared" si="167"/>
        <v>1658700</v>
      </c>
      <c r="M354" s="157">
        <f t="shared" si="167"/>
        <v>1222200</v>
      </c>
      <c r="N354" s="157">
        <f t="shared" si="167"/>
        <v>1222200</v>
      </c>
      <c r="O354" s="157">
        <f t="shared" si="167"/>
        <v>1261000</v>
      </c>
      <c r="P354" s="157">
        <f t="shared" si="167"/>
        <v>2017600</v>
      </c>
      <c r="Q354" s="157">
        <f t="shared" si="167"/>
        <v>2279500</v>
      </c>
      <c r="R354" s="157">
        <f t="shared" si="167"/>
        <v>2832400</v>
      </c>
      <c r="S354" s="157">
        <f t="shared" si="167"/>
        <v>2201900</v>
      </c>
      <c r="T354" s="158">
        <f t="shared" si="167"/>
        <v>1668400</v>
      </c>
      <c r="U354" s="159"/>
    </row>
    <row r="355" spans="1:21" s="4" customFormat="1">
      <c r="A355" s="2"/>
      <c r="B355" s="2"/>
      <c r="C355" s="2"/>
      <c r="D355" s="2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115"/>
      <c r="U355" s="159"/>
    </row>
    <row r="356" spans="1:21" s="4" customFormat="1" ht="15.75">
      <c r="A356" s="2">
        <v>3</v>
      </c>
      <c r="B356" s="2"/>
      <c r="C356" s="718" t="str">
        <f>"7.2.3.3 - "&amp;VLOOKUP(A356,TIPOLOGIA!$D$10:$E$12,2,0)</f>
        <v>7.2.3.3 - -</v>
      </c>
      <c r="D356" s="718"/>
      <c r="E356" s="718"/>
      <c r="F356" s="718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115"/>
      <c r="U356" s="159"/>
    </row>
    <row r="357" spans="1:21" ht="18" customHeight="1">
      <c r="C357" s="705" t="s">
        <v>86</v>
      </c>
      <c r="D357" s="719"/>
      <c r="E357" s="105" t="s">
        <v>99</v>
      </c>
      <c r="F357" s="106">
        <v>1</v>
      </c>
      <c r="G357" s="106">
        <f t="shared" ref="G357:T357" si="168">+F357+1</f>
        <v>2</v>
      </c>
      <c r="H357" s="106">
        <f t="shared" si="168"/>
        <v>3</v>
      </c>
      <c r="I357" s="106">
        <f t="shared" si="168"/>
        <v>4</v>
      </c>
      <c r="J357" s="106">
        <f t="shared" si="168"/>
        <v>5</v>
      </c>
      <c r="K357" s="106">
        <f t="shared" si="168"/>
        <v>6</v>
      </c>
      <c r="L357" s="106">
        <f t="shared" si="168"/>
        <v>7</v>
      </c>
      <c r="M357" s="106">
        <f t="shared" si="168"/>
        <v>8</v>
      </c>
      <c r="N357" s="106">
        <f t="shared" si="168"/>
        <v>9</v>
      </c>
      <c r="O357" s="106">
        <f t="shared" si="168"/>
        <v>10</v>
      </c>
      <c r="P357" s="106">
        <f t="shared" si="168"/>
        <v>11</v>
      </c>
      <c r="Q357" s="106">
        <f t="shared" si="168"/>
        <v>12</v>
      </c>
      <c r="R357" s="106">
        <f t="shared" si="168"/>
        <v>13</v>
      </c>
      <c r="S357" s="106">
        <f t="shared" si="168"/>
        <v>14</v>
      </c>
      <c r="T357" s="107">
        <f t="shared" si="168"/>
        <v>15</v>
      </c>
      <c r="U357" s="159"/>
    </row>
    <row r="358" spans="1:21">
      <c r="C358" s="110">
        <v>0</v>
      </c>
      <c r="D358" s="108" t="s">
        <v>87</v>
      </c>
      <c r="E358" s="167">
        <f>F358</f>
        <v>0</v>
      </c>
      <c r="F358" s="155">
        <f>+F149*'3. PREÇOS INSUMOS'!G81</f>
        <v>0</v>
      </c>
      <c r="G358" s="155">
        <f>+G149*'3. PREÇOS INSUMOS'!H81</f>
        <v>0</v>
      </c>
      <c r="H358" s="155">
        <f>+H149*'3. PREÇOS INSUMOS'!I81</f>
        <v>0</v>
      </c>
      <c r="I358" s="155">
        <f>+I149*'3. PREÇOS INSUMOS'!J81</f>
        <v>0</v>
      </c>
      <c r="J358" s="155">
        <f>+J149*'3. PREÇOS INSUMOS'!K81</f>
        <v>0</v>
      </c>
      <c r="K358" s="155">
        <f>+K149*'3. PREÇOS INSUMOS'!L81</f>
        <v>0</v>
      </c>
      <c r="L358" s="155">
        <f>+L149*'3. PREÇOS INSUMOS'!M81</f>
        <v>0</v>
      </c>
      <c r="M358" s="155">
        <f>+M149*'3. PREÇOS INSUMOS'!N81</f>
        <v>0</v>
      </c>
      <c r="N358" s="155">
        <f>+N149*'3. PREÇOS INSUMOS'!O81</f>
        <v>0</v>
      </c>
      <c r="O358" s="155">
        <f>+O149*'3. PREÇOS INSUMOS'!P81</f>
        <v>0</v>
      </c>
      <c r="P358" s="155">
        <f>+P149*'3. PREÇOS INSUMOS'!Q81</f>
        <v>0</v>
      </c>
      <c r="Q358" s="155">
        <f>+Q149*'3. PREÇOS INSUMOS'!R81</f>
        <v>0</v>
      </c>
      <c r="R358" s="155">
        <f>+R149*'3. PREÇOS INSUMOS'!S81</f>
        <v>0</v>
      </c>
      <c r="S358" s="155">
        <f>+S149*'3. PREÇOS INSUMOS'!T81</f>
        <v>0</v>
      </c>
      <c r="T358" s="156">
        <f>+T149*'3. PREÇOS INSUMOS'!U81</f>
        <v>0</v>
      </c>
      <c r="U358" s="159"/>
    </row>
    <row r="359" spans="1:21" ht="18" customHeight="1">
      <c r="C359" s="110">
        <v>1</v>
      </c>
      <c r="D359" s="108" t="s">
        <v>89</v>
      </c>
      <c r="E359" s="167">
        <f t="shared" ref="E359:E368" si="169">F359</f>
        <v>0</v>
      </c>
      <c r="F359" s="155">
        <f>+F150*'3. PREÇOS INSUMOS'!G82</f>
        <v>0</v>
      </c>
      <c r="G359" s="155">
        <f>+G150*'3. PREÇOS INSUMOS'!H82</f>
        <v>0</v>
      </c>
      <c r="H359" s="155">
        <f>+H150*'3. PREÇOS INSUMOS'!I82</f>
        <v>0</v>
      </c>
      <c r="I359" s="155">
        <f>+I150*'3. PREÇOS INSUMOS'!J82</f>
        <v>0</v>
      </c>
      <c r="J359" s="155">
        <f>+J150*'3. PREÇOS INSUMOS'!K82</f>
        <v>0</v>
      </c>
      <c r="K359" s="155">
        <f>+K150*'3. PREÇOS INSUMOS'!L82</f>
        <v>0</v>
      </c>
      <c r="L359" s="155">
        <f>+L150*'3. PREÇOS INSUMOS'!M82</f>
        <v>0</v>
      </c>
      <c r="M359" s="155">
        <f>+M150*'3. PREÇOS INSUMOS'!N82</f>
        <v>0</v>
      </c>
      <c r="N359" s="155">
        <f>+N150*'3. PREÇOS INSUMOS'!O82</f>
        <v>0</v>
      </c>
      <c r="O359" s="155">
        <f>+O150*'3. PREÇOS INSUMOS'!P82</f>
        <v>0</v>
      </c>
      <c r="P359" s="155">
        <f>+P150*'3. PREÇOS INSUMOS'!Q82</f>
        <v>0</v>
      </c>
      <c r="Q359" s="155">
        <f>+Q150*'3. PREÇOS INSUMOS'!R82</f>
        <v>0</v>
      </c>
      <c r="R359" s="155">
        <f>+R150*'3. PREÇOS INSUMOS'!S82</f>
        <v>0</v>
      </c>
      <c r="S359" s="155">
        <f>+S150*'3. PREÇOS INSUMOS'!T82</f>
        <v>0</v>
      </c>
      <c r="T359" s="156">
        <f>+T150*'3. PREÇOS INSUMOS'!U82</f>
        <v>0</v>
      </c>
      <c r="U359" s="159"/>
    </row>
    <row r="360" spans="1:21">
      <c r="C360" s="110">
        <v>2</v>
      </c>
      <c r="D360" s="108" t="s">
        <v>90</v>
      </c>
      <c r="E360" s="167">
        <f t="shared" si="169"/>
        <v>0</v>
      </c>
      <c r="F360" s="155">
        <f>+F151*'3. PREÇOS INSUMOS'!G83</f>
        <v>0</v>
      </c>
      <c r="G360" s="155">
        <f>+G151*'3. PREÇOS INSUMOS'!H83</f>
        <v>0</v>
      </c>
      <c r="H360" s="155">
        <f>+H151*'3. PREÇOS INSUMOS'!I83</f>
        <v>0</v>
      </c>
      <c r="I360" s="155">
        <f>+I151*'3. PREÇOS INSUMOS'!J83</f>
        <v>0</v>
      </c>
      <c r="J360" s="155">
        <f>+J151*'3. PREÇOS INSUMOS'!K83</f>
        <v>0</v>
      </c>
      <c r="K360" s="155">
        <f>+K151*'3. PREÇOS INSUMOS'!L83</f>
        <v>0</v>
      </c>
      <c r="L360" s="155">
        <f>+L151*'3. PREÇOS INSUMOS'!M83</f>
        <v>0</v>
      </c>
      <c r="M360" s="155">
        <f>+M151*'3. PREÇOS INSUMOS'!N83</f>
        <v>0</v>
      </c>
      <c r="N360" s="155">
        <f>+N151*'3. PREÇOS INSUMOS'!O83</f>
        <v>0</v>
      </c>
      <c r="O360" s="155">
        <f>+O151*'3. PREÇOS INSUMOS'!P83</f>
        <v>0</v>
      </c>
      <c r="P360" s="155">
        <f>+P151*'3. PREÇOS INSUMOS'!Q83</f>
        <v>0</v>
      </c>
      <c r="Q360" s="155">
        <f>+Q151*'3. PREÇOS INSUMOS'!R83</f>
        <v>0</v>
      </c>
      <c r="R360" s="155">
        <f>+R151*'3. PREÇOS INSUMOS'!S83</f>
        <v>0</v>
      </c>
      <c r="S360" s="155">
        <f>+S151*'3. PREÇOS INSUMOS'!T83</f>
        <v>0</v>
      </c>
      <c r="T360" s="156">
        <f>+T151*'3. PREÇOS INSUMOS'!U83</f>
        <v>0</v>
      </c>
      <c r="U360" s="159"/>
    </row>
    <row r="361" spans="1:21">
      <c r="C361" s="110">
        <v>3</v>
      </c>
      <c r="D361" s="108" t="s">
        <v>91</v>
      </c>
      <c r="E361" s="167">
        <f t="shared" si="169"/>
        <v>0</v>
      </c>
      <c r="F361" s="155">
        <f>+F152*'3. PREÇOS INSUMOS'!G84</f>
        <v>0</v>
      </c>
      <c r="G361" s="155">
        <f>+G152*'3. PREÇOS INSUMOS'!H84</f>
        <v>0</v>
      </c>
      <c r="H361" s="155">
        <f>+H152*'3. PREÇOS INSUMOS'!I84</f>
        <v>0</v>
      </c>
      <c r="I361" s="155">
        <f>+I152*'3. PREÇOS INSUMOS'!J84</f>
        <v>0</v>
      </c>
      <c r="J361" s="155">
        <f>+J152*'3. PREÇOS INSUMOS'!K84</f>
        <v>0</v>
      </c>
      <c r="K361" s="155">
        <f>+K152*'3. PREÇOS INSUMOS'!L84</f>
        <v>0</v>
      </c>
      <c r="L361" s="155">
        <f>+L152*'3. PREÇOS INSUMOS'!M84</f>
        <v>0</v>
      </c>
      <c r="M361" s="155">
        <f>+M152*'3. PREÇOS INSUMOS'!N84</f>
        <v>0</v>
      </c>
      <c r="N361" s="155">
        <f>+N152*'3. PREÇOS INSUMOS'!O84</f>
        <v>0</v>
      </c>
      <c r="O361" s="155">
        <f>+O152*'3. PREÇOS INSUMOS'!P84</f>
        <v>0</v>
      </c>
      <c r="P361" s="155">
        <f>+P152*'3. PREÇOS INSUMOS'!Q84</f>
        <v>0</v>
      </c>
      <c r="Q361" s="155">
        <f>+Q152*'3. PREÇOS INSUMOS'!R84</f>
        <v>0</v>
      </c>
      <c r="R361" s="155">
        <f>+R152*'3. PREÇOS INSUMOS'!S84</f>
        <v>0</v>
      </c>
      <c r="S361" s="155">
        <f>+S152*'3. PREÇOS INSUMOS'!T84</f>
        <v>0</v>
      </c>
      <c r="T361" s="156">
        <f>+T152*'3. PREÇOS INSUMOS'!U84</f>
        <v>0</v>
      </c>
      <c r="U361" s="159"/>
    </row>
    <row r="362" spans="1:21">
      <c r="C362" s="110">
        <v>4</v>
      </c>
      <c r="D362" s="108" t="s">
        <v>92</v>
      </c>
      <c r="E362" s="167">
        <f t="shared" si="169"/>
        <v>0</v>
      </c>
      <c r="F362" s="155">
        <f>+F153*'3. PREÇOS INSUMOS'!G85</f>
        <v>0</v>
      </c>
      <c r="G362" s="155">
        <f>+G153*'3. PREÇOS INSUMOS'!H85</f>
        <v>0</v>
      </c>
      <c r="H362" s="155">
        <f>+H153*'3. PREÇOS INSUMOS'!I85</f>
        <v>0</v>
      </c>
      <c r="I362" s="155">
        <f>+I153*'3. PREÇOS INSUMOS'!J85</f>
        <v>0</v>
      </c>
      <c r="J362" s="155">
        <f>+J153*'3. PREÇOS INSUMOS'!K85</f>
        <v>0</v>
      </c>
      <c r="K362" s="155">
        <f>+K153*'3. PREÇOS INSUMOS'!L85</f>
        <v>0</v>
      </c>
      <c r="L362" s="155">
        <f>+L153*'3. PREÇOS INSUMOS'!M85</f>
        <v>0</v>
      </c>
      <c r="M362" s="155">
        <f>+M153*'3. PREÇOS INSUMOS'!N85</f>
        <v>0</v>
      </c>
      <c r="N362" s="155">
        <f>+N153*'3. PREÇOS INSUMOS'!O85</f>
        <v>0</v>
      </c>
      <c r="O362" s="155">
        <f>+O153*'3. PREÇOS INSUMOS'!P85</f>
        <v>0</v>
      </c>
      <c r="P362" s="155">
        <f>+P153*'3. PREÇOS INSUMOS'!Q85</f>
        <v>0</v>
      </c>
      <c r="Q362" s="155">
        <f>+Q153*'3. PREÇOS INSUMOS'!R85</f>
        <v>0</v>
      </c>
      <c r="R362" s="155">
        <f>+R153*'3. PREÇOS INSUMOS'!S85</f>
        <v>0</v>
      </c>
      <c r="S362" s="155">
        <f>+S153*'3. PREÇOS INSUMOS'!T85</f>
        <v>0</v>
      </c>
      <c r="T362" s="156">
        <f>+T153*'3. PREÇOS INSUMOS'!U85</f>
        <v>0</v>
      </c>
      <c r="U362" s="159"/>
    </row>
    <row r="363" spans="1:21">
      <c r="C363" s="110">
        <v>5</v>
      </c>
      <c r="D363" s="108" t="s">
        <v>93</v>
      </c>
      <c r="E363" s="167">
        <f t="shared" si="169"/>
        <v>0</v>
      </c>
      <c r="F363" s="155">
        <f>+F154*'3. PREÇOS INSUMOS'!G86</f>
        <v>0</v>
      </c>
      <c r="G363" s="155">
        <f>+G154*'3. PREÇOS INSUMOS'!H86</f>
        <v>0</v>
      </c>
      <c r="H363" s="155">
        <f>+H154*'3. PREÇOS INSUMOS'!I86</f>
        <v>0</v>
      </c>
      <c r="I363" s="155">
        <f>+I154*'3. PREÇOS INSUMOS'!J86</f>
        <v>0</v>
      </c>
      <c r="J363" s="155">
        <f>+J154*'3. PREÇOS INSUMOS'!K86</f>
        <v>0</v>
      </c>
      <c r="K363" s="155">
        <f>+K154*'3. PREÇOS INSUMOS'!L86</f>
        <v>0</v>
      </c>
      <c r="L363" s="155">
        <f>+L154*'3. PREÇOS INSUMOS'!M86</f>
        <v>0</v>
      </c>
      <c r="M363" s="155">
        <f>+M154*'3. PREÇOS INSUMOS'!N86</f>
        <v>0</v>
      </c>
      <c r="N363" s="155">
        <f>+N154*'3. PREÇOS INSUMOS'!O86</f>
        <v>0</v>
      </c>
      <c r="O363" s="155">
        <f>+O154*'3. PREÇOS INSUMOS'!P86</f>
        <v>0</v>
      </c>
      <c r="P363" s="155">
        <f>+P154*'3. PREÇOS INSUMOS'!Q86</f>
        <v>0</v>
      </c>
      <c r="Q363" s="155">
        <f>+Q154*'3. PREÇOS INSUMOS'!R86</f>
        <v>0</v>
      </c>
      <c r="R363" s="155">
        <f>+R154*'3. PREÇOS INSUMOS'!S86</f>
        <v>0</v>
      </c>
      <c r="S363" s="155">
        <f>+S154*'3. PREÇOS INSUMOS'!T86</f>
        <v>0</v>
      </c>
      <c r="T363" s="156">
        <f>+T154*'3. PREÇOS INSUMOS'!U86</f>
        <v>0</v>
      </c>
      <c r="U363" s="159"/>
    </row>
    <row r="364" spans="1:21">
      <c r="C364" s="110">
        <v>6</v>
      </c>
      <c r="D364" s="108" t="s">
        <v>94</v>
      </c>
      <c r="E364" s="167">
        <f t="shared" si="169"/>
        <v>0</v>
      </c>
      <c r="F364" s="155">
        <f>+F155*'3. PREÇOS INSUMOS'!G87</f>
        <v>0</v>
      </c>
      <c r="G364" s="155">
        <f>+G155*'3. PREÇOS INSUMOS'!H87</f>
        <v>0</v>
      </c>
      <c r="H364" s="155">
        <f>+H155*'3. PREÇOS INSUMOS'!I87</f>
        <v>0</v>
      </c>
      <c r="I364" s="155">
        <f>+I155*'3. PREÇOS INSUMOS'!J87</f>
        <v>0</v>
      </c>
      <c r="J364" s="155">
        <f>+J155*'3. PREÇOS INSUMOS'!K87</f>
        <v>0</v>
      </c>
      <c r="K364" s="155">
        <f>+K155*'3. PREÇOS INSUMOS'!L87</f>
        <v>0</v>
      </c>
      <c r="L364" s="155">
        <f>+L155*'3. PREÇOS INSUMOS'!M87</f>
        <v>0</v>
      </c>
      <c r="M364" s="155">
        <f>+M155*'3. PREÇOS INSUMOS'!N87</f>
        <v>0</v>
      </c>
      <c r="N364" s="155">
        <f>+N155*'3. PREÇOS INSUMOS'!O87</f>
        <v>0</v>
      </c>
      <c r="O364" s="155">
        <f>+O155*'3. PREÇOS INSUMOS'!P87</f>
        <v>0</v>
      </c>
      <c r="P364" s="155">
        <f>+P155*'3. PREÇOS INSUMOS'!Q87</f>
        <v>0</v>
      </c>
      <c r="Q364" s="155">
        <f>+Q155*'3. PREÇOS INSUMOS'!R87</f>
        <v>0</v>
      </c>
      <c r="R364" s="155">
        <f>+R155*'3. PREÇOS INSUMOS'!S87</f>
        <v>0</v>
      </c>
      <c r="S364" s="155">
        <f>+S155*'3. PREÇOS INSUMOS'!T87</f>
        <v>0</v>
      </c>
      <c r="T364" s="156">
        <f>+T155*'3. PREÇOS INSUMOS'!U87</f>
        <v>0</v>
      </c>
      <c r="U364" s="159"/>
    </row>
    <row r="365" spans="1:21">
      <c r="C365" s="110">
        <v>7</v>
      </c>
      <c r="D365" s="108" t="s">
        <v>95</v>
      </c>
      <c r="E365" s="167">
        <f t="shared" si="169"/>
        <v>0</v>
      </c>
      <c r="F365" s="155">
        <f>+F156*'3. PREÇOS INSUMOS'!G88</f>
        <v>0</v>
      </c>
      <c r="G365" s="155">
        <f>+G156*'3. PREÇOS INSUMOS'!H88</f>
        <v>0</v>
      </c>
      <c r="H365" s="155">
        <f>+H156*'3. PREÇOS INSUMOS'!I88</f>
        <v>0</v>
      </c>
      <c r="I365" s="155">
        <f>+I156*'3. PREÇOS INSUMOS'!J88</f>
        <v>0</v>
      </c>
      <c r="J365" s="155">
        <f>+J156*'3. PREÇOS INSUMOS'!K88</f>
        <v>0</v>
      </c>
      <c r="K365" s="155">
        <f>+K156*'3. PREÇOS INSUMOS'!L88</f>
        <v>0</v>
      </c>
      <c r="L365" s="155">
        <f>+L156*'3. PREÇOS INSUMOS'!M88</f>
        <v>0</v>
      </c>
      <c r="M365" s="155">
        <f>+M156*'3. PREÇOS INSUMOS'!N88</f>
        <v>0</v>
      </c>
      <c r="N365" s="155">
        <f>+N156*'3. PREÇOS INSUMOS'!O88</f>
        <v>0</v>
      </c>
      <c r="O365" s="155">
        <f>+O156*'3. PREÇOS INSUMOS'!P88</f>
        <v>0</v>
      </c>
      <c r="P365" s="155">
        <f>+P156*'3. PREÇOS INSUMOS'!Q88</f>
        <v>0</v>
      </c>
      <c r="Q365" s="155">
        <f>+Q156*'3. PREÇOS INSUMOS'!R88</f>
        <v>0</v>
      </c>
      <c r="R365" s="155">
        <f>+R156*'3. PREÇOS INSUMOS'!S88</f>
        <v>0</v>
      </c>
      <c r="S365" s="155">
        <f>+S156*'3. PREÇOS INSUMOS'!T88</f>
        <v>0</v>
      </c>
      <c r="T365" s="156">
        <f>+T156*'3. PREÇOS INSUMOS'!U88</f>
        <v>0</v>
      </c>
      <c r="U365" s="159"/>
    </row>
    <row r="366" spans="1:21">
      <c r="C366" s="110">
        <v>8</v>
      </c>
      <c r="D366" s="108" t="s">
        <v>96</v>
      </c>
      <c r="E366" s="167">
        <f t="shared" si="169"/>
        <v>0</v>
      </c>
      <c r="F366" s="155">
        <f>+F157*'3. PREÇOS INSUMOS'!G89</f>
        <v>0</v>
      </c>
      <c r="G366" s="155">
        <f>+G157*'3. PREÇOS INSUMOS'!H89</f>
        <v>0</v>
      </c>
      <c r="H366" s="155">
        <f>+H157*'3. PREÇOS INSUMOS'!I89</f>
        <v>0</v>
      </c>
      <c r="I366" s="155">
        <f>+I157*'3. PREÇOS INSUMOS'!J89</f>
        <v>0</v>
      </c>
      <c r="J366" s="155">
        <f>+J157*'3. PREÇOS INSUMOS'!K89</f>
        <v>0</v>
      </c>
      <c r="K366" s="155">
        <f>+K157*'3. PREÇOS INSUMOS'!L89</f>
        <v>0</v>
      </c>
      <c r="L366" s="155">
        <f>+L157*'3. PREÇOS INSUMOS'!M89</f>
        <v>0</v>
      </c>
      <c r="M366" s="155">
        <f>+M157*'3. PREÇOS INSUMOS'!N89</f>
        <v>0</v>
      </c>
      <c r="N366" s="155">
        <f>+N157*'3. PREÇOS INSUMOS'!O89</f>
        <v>0</v>
      </c>
      <c r="O366" s="155">
        <f>+O157*'3. PREÇOS INSUMOS'!P89</f>
        <v>0</v>
      </c>
      <c r="P366" s="155">
        <f>+P157*'3. PREÇOS INSUMOS'!Q89</f>
        <v>0</v>
      </c>
      <c r="Q366" s="155">
        <f>+Q157*'3. PREÇOS INSUMOS'!R89</f>
        <v>0</v>
      </c>
      <c r="R366" s="155">
        <f>+R157*'3. PREÇOS INSUMOS'!S89</f>
        <v>0</v>
      </c>
      <c r="S366" s="155">
        <f>+S157*'3. PREÇOS INSUMOS'!T89</f>
        <v>0</v>
      </c>
      <c r="T366" s="156">
        <f>+T157*'3. PREÇOS INSUMOS'!U89</f>
        <v>0</v>
      </c>
      <c r="U366" s="159"/>
    </row>
    <row r="367" spans="1:21">
      <c r="C367" s="110">
        <v>9</v>
      </c>
      <c r="D367" s="108" t="s">
        <v>97</v>
      </c>
      <c r="E367" s="167">
        <f t="shared" si="169"/>
        <v>0</v>
      </c>
      <c r="F367" s="155">
        <f>+F158*'3. PREÇOS INSUMOS'!G90</f>
        <v>0</v>
      </c>
      <c r="G367" s="155">
        <f>+G158*'3. PREÇOS INSUMOS'!H90</f>
        <v>0</v>
      </c>
      <c r="H367" s="155">
        <f>+H158*'3. PREÇOS INSUMOS'!I90</f>
        <v>0</v>
      </c>
      <c r="I367" s="155">
        <f>+I158*'3. PREÇOS INSUMOS'!J90</f>
        <v>0</v>
      </c>
      <c r="J367" s="155">
        <f>+J158*'3. PREÇOS INSUMOS'!K90</f>
        <v>0</v>
      </c>
      <c r="K367" s="155">
        <f>+K158*'3. PREÇOS INSUMOS'!L90</f>
        <v>0</v>
      </c>
      <c r="L367" s="155">
        <f>+L158*'3. PREÇOS INSUMOS'!M90</f>
        <v>0</v>
      </c>
      <c r="M367" s="155">
        <f>+M158*'3. PREÇOS INSUMOS'!N90</f>
        <v>0</v>
      </c>
      <c r="N367" s="155">
        <f>+N158*'3. PREÇOS INSUMOS'!O90</f>
        <v>0</v>
      </c>
      <c r="O367" s="155">
        <f>+O158*'3. PREÇOS INSUMOS'!P90</f>
        <v>0</v>
      </c>
      <c r="P367" s="155">
        <f>+P158*'3. PREÇOS INSUMOS'!Q90</f>
        <v>0</v>
      </c>
      <c r="Q367" s="155">
        <f>+Q158*'3. PREÇOS INSUMOS'!R90</f>
        <v>0</v>
      </c>
      <c r="R367" s="155">
        <f>+R158*'3. PREÇOS INSUMOS'!S90</f>
        <v>0</v>
      </c>
      <c r="S367" s="155">
        <f>+S158*'3. PREÇOS INSUMOS'!T90</f>
        <v>0</v>
      </c>
      <c r="T367" s="156">
        <f>+T158*'3. PREÇOS INSUMOS'!U90</f>
        <v>0</v>
      </c>
      <c r="U367" s="159"/>
    </row>
    <row r="368" spans="1:21">
      <c r="C368" s="121">
        <v>10</v>
      </c>
      <c r="D368" s="123" t="s">
        <v>98</v>
      </c>
      <c r="E368" s="169">
        <f t="shared" si="169"/>
        <v>0</v>
      </c>
      <c r="F368" s="170">
        <f>+F159*'3. PREÇOS INSUMOS'!G91</f>
        <v>0</v>
      </c>
      <c r="G368" s="170">
        <f>+G159*'3. PREÇOS INSUMOS'!H91</f>
        <v>0</v>
      </c>
      <c r="H368" s="170">
        <f>+H159*'3. PREÇOS INSUMOS'!I91</f>
        <v>0</v>
      </c>
      <c r="I368" s="170">
        <f>+I159*'3. PREÇOS INSUMOS'!J91</f>
        <v>0</v>
      </c>
      <c r="J368" s="170">
        <f>+J159*'3. PREÇOS INSUMOS'!K91</f>
        <v>0</v>
      </c>
      <c r="K368" s="170">
        <f>+K159*'3. PREÇOS INSUMOS'!L91</f>
        <v>0</v>
      </c>
      <c r="L368" s="170">
        <f>+L159*'3. PREÇOS INSUMOS'!M91</f>
        <v>0</v>
      </c>
      <c r="M368" s="170">
        <f>+M159*'3. PREÇOS INSUMOS'!N91</f>
        <v>0</v>
      </c>
      <c r="N368" s="170">
        <f>+N159*'3. PREÇOS INSUMOS'!O91</f>
        <v>0</v>
      </c>
      <c r="O368" s="170">
        <f>+O159*'3. PREÇOS INSUMOS'!P91</f>
        <v>0</v>
      </c>
      <c r="P368" s="170">
        <f>+P159*'3. PREÇOS INSUMOS'!Q91</f>
        <v>0</v>
      </c>
      <c r="Q368" s="170">
        <f>+Q159*'3. PREÇOS INSUMOS'!R91</f>
        <v>0</v>
      </c>
      <c r="R368" s="170">
        <f>+R159*'3. PREÇOS INSUMOS'!S91</f>
        <v>0</v>
      </c>
      <c r="S368" s="170">
        <f>+S159*'3. PREÇOS INSUMOS'!T91</f>
        <v>0</v>
      </c>
      <c r="T368" s="171">
        <f>+T159*'3. PREÇOS INSUMOS'!U91</f>
        <v>0</v>
      </c>
      <c r="U368" s="159"/>
    </row>
    <row r="369" spans="1:21">
      <c r="A369" s="4"/>
      <c r="B369" s="4"/>
      <c r="C369" s="111" t="s">
        <v>88</v>
      </c>
      <c r="D369" s="112"/>
      <c r="E369" s="157">
        <f t="shared" ref="E369:T369" si="170">SUM(E358:E368)</f>
        <v>0</v>
      </c>
      <c r="F369" s="157">
        <f t="shared" si="170"/>
        <v>0</v>
      </c>
      <c r="G369" s="157">
        <f t="shared" si="170"/>
        <v>0</v>
      </c>
      <c r="H369" s="157">
        <f t="shared" si="170"/>
        <v>0</v>
      </c>
      <c r="I369" s="157">
        <f t="shared" si="170"/>
        <v>0</v>
      </c>
      <c r="J369" s="157">
        <f t="shared" si="170"/>
        <v>0</v>
      </c>
      <c r="K369" s="157">
        <f t="shared" si="170"/>
        <v>0</v>
      </c>
      <c r="L369" s="157">
        <f t="shared" si="170"/>
        <v>0</v>
      </c>
      <c r="M369" s="157">
        <f t="shared" si="170"/>
        <v>0</v>
      </c>
      <c r="N369" s="157">
        <f t="shared" si="170"/>
        <v>0</v>
      </c>
      <c r="O369" s="157">
        <f t="shared" si="170"/>
        <v>0</v>
      </c>
      <c r="P369" s="157">
        <f t="shared" si="170"/>
        <v>0</v>
      </c>
      <c r="Q369" s="157">
        <f t="shared" si="170"/>
        <v>0</v>
      </c>
      <c r="R369" s="157">
        <f t="shared" si="170"/>
        <v>0</v>
      </c>
      <c r="S369" s="157">
        <f t="shared" si="170"/>
        <v>0</v>
      </c>
      <c r="T369" s="158">
        <f t="shared" si="170"/>
        <v>0</v>
      </c>
      <c r="U369" s="159"/>
    </row>
    <row r="370" spans="1:21" s="4" customFormat="1">
      <c r="A370" s="2"/>
      <c r="B370" s="2"/>
      <c r="C370" s="2"/>
      <c r="D370" s="2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115"/>
      <c r="U370" s="159"/>
    </row>
    <row r="371" spans="1:21" s="4" customFormat="1">
      <c r="A371" s="2"/>
      <c r="B371" s="2"/>
      <c r="C371" s="2"/>
      <c r="D371" s="2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115"/>
      <c r="U371" s="159"/>
    </row>
    <row r="372" spans="1:21" ht="15.75">
      <c r="A372" s="2">
        <v>3</v>
      </c>
      <c r="C372" s="718" t="s">
        <v>221</v>
      </c>
      <c r="D372" s="718"/>
      <c r="E372" s="718"/>
      <c r="F372" s="718"/>
      <c r="T372" s="115"/>
      <c r="U372" s="159"/>
    </row>
    <row r="373" spans="1:21" ht="18" customHeight="1">
      <c r="C373" s="705" t="s">
        <v>86</v>
      </c>
      <c r="D373" s="719"/>
      <c r="E373" s="105" t="s">
        <v>99</v>
      </c>
      <c r="F373" s="106">
        <v>1</v>
      </c>
      <c r="G373" s="106">
        <f t="shared" ref="G373:T373" si="171">+F373+1</f>
        <v>2</v>
      </c>
      <c r="H373" s="106">
        <f t="shared" si="171"/>
        <v>3</v>
      </c>
      <c r="I373" s="106">
        <f t="shared" si="171"/>
        <v>4</v>
      </c>
      <c r="J373" s="106">
        <f t="shared" si="171"/>
        <v>5</v>
      </c>
      <c r="K373" s="106">
        <f t="shared" si="171"/>
        <v>6</v>
      </c>
      <c r="L373" s="106">
        <f t="shared" si="171"/>
        <v>7</v>
      </c>
      <c r="M373" s="106">
        <f t="shared" si="171"/>
        <v>8</v>
      </c>
      <c r="N373" s="106">
        <f t="shared" si="171"/>
        <v>9</v>
      </c>
      <c r="O373" s="106">
        <f t="shared" si="171"/>
        <v>10</v>
      </c>
      <c r="P373" s="106">
        <f t="shared" si="171"/>
        <v>11</v>
      </c>
      <c r="Q373" s="106">
        <f t="shared" si="171"/>
        <v>12</v>
      </c>
      <c r="R373" s="106">
        <f t="shared" si="171"/>
        <v>13</v>
      </c>
      <c r="S373" s="106">
        <f t="shared" si="171"/>
        <v>14</v>
      </c>
      <c r="T373" s="107">
        <f t="shared" si="171"/>
        <v>15</v>
      </c>
    </row>
    <row r="374" spans="1:21">
      <c r="C374" s="110">
        <v>0</v>
      </c>
      <c r="D374" s="108" t="s">
        <v>87</v>
      </c>
      <c r="E374" s="168">
        <f t="shared" ref="E374:T374" si="172">SUM(E328,E343,E358)</f>
        <v>0</v>
      </c>
      <c r="F374" s="155">
        <f t="shared" si="172"/>
        <v>0</v>
      </c>
      <c r="G374" s="155">
        <f t="shared" si="172"/>
        <v>1164000</v>
      </c>
      <c r="H374" s="155">
        <f t="shared" si="172"/>
        <v>776000</v>
      </c>
      <c r="I374" s="155">
        <f t="shared" si="172"/>
        <v>776000</v>
      </c>
      <c r="J374" s="155">
        <f t="shared" si="172"/>
        <v>2400000</v>
      </c>
      <c r="K374" s="155">
        <f t="shared" si="172"/>
        <v>0</v>
      </c>
      <c r="L374" s="155">
        <f t="shared" si="172"/>
        <v>0</v>
      </c>
      <c r="M374" s="155">
        <f t="shared" si="172"/>
        <v>0</v>
      </c>
      <c r="N374" s="155">
        <f t="shared" si="172"/>
        <v>388000</v>
      </c>
      <c r="O374" s="155">
        <f t="shared" si="172"/>
        <v>388000</v>
      </c>
      <c r="P374" s="155">
        <f t="shared" si="172"/>
        <v>1164000</v>
      </c>
      <c r="Q374" s="155">
        <f t="shared" si="172"/>
        <v>776000</v>
      </c>
      <c r="R374" s="155">
        <f t="shared" si="172"/>
        <v>2400000</v>
      </c>
      <c r="S374" s="155">
        <f t="shared" si="172"/>
        <v>0</v>
      </c>
      <c r="T374" s="156">
        <f t="shared" si="172"/>
        <v>0</v>
      </c>
      <c r="U374" s="159"/>
    </row>
    <row r="375" spans="1:21" ht="18" customHeight="1">
      <c r="C375" s="110">
        <v>1</v>
      </c>
      <c r="D375" s="108" t="s">
        <v>89</v>
      </c>
      <c r="E375" s="168">
        <f t="shared" ref="E375:T375" si="173">SUM(E329,E344,E359)</f>
        <v>0</v>
      </c>
      <c r="F375" s="155">
        <f t="shared" si="173"/>
        <v>0</v>
      </c>
      <c r="G375" s="155">
        <f t="shared" si="173"/>
        <v>0</v>
      </c>
      <c r="H375" s="155">
        <f t="shared" si="173"/>
        <v>931200</v>
      </c>
      <c r="I375" s="155">
        <f t="shared" si="173"/>
        <v>620800</v>
      </c>
      <c r="J375" s="155">
        <f t="shared" si="173"/>
        <v>620800</v>
      </c>
      <c r="K375" s="155">
        <f t="shared" si="173"/>
        <v>1933733.3333333335</v>
      </c>
      <c r="L375" s="155">
        <f t="shared" si="173"/>
        <v>0</v>
      </c>
      <c r="M375" s="155">
        <f t="shared" si="173"/>
        <v>0</v>
      </c>
      <c r="N375" s="155">
        <f t="shared" si="173"/>
        <v>0</v>
      </c>
      <c r="O375" s="155">
        <f t="shared" si="173"/>
        <v>310400</v>
      </c>
      <c r="P375" s="155">
        <f t="shared" si="173"/>
        <v>310400</v>
      </c>
      <c r="Q375" s="155">
        <f t="shared" si="173"/>
        <v>931200</v>
      </c>
      <c r="R375" s="155">
        <f t="shared" si="173"/>
        <v>620800</v>
      </c>
      <c r="S375" s="155">
        <f t="shared" si="173"/>
        <v>1933733.3333333335</v>
      </c>
      <c r="T375" s="156">
        <f t="shared" si="173"/>
        <v>0</v>
      </c>
      <c r="U375" s="159"/>
    </row>
    <row r="376" spans="1:21">
      <c r="C376" s="110">
        <v>2</v>
      </c>
      <c r="D376" s="108" t="s">
        <v>90</v>
      </c>
      <c r="E376" s="168">
        <f t="shared" ref="E376:T376" si="174">SUM(E330,E345,E360)</f>
        <v>0</v>
      </c>
      <c r="F376" s="155">
        <f t="shared" si="174"/>
        <v>0</v>
      </c>
      <c r="G376" s="155">
        <f t="shared" si="174"/>
        <v>0</v>
      </c>
      <c r="H376" s="155">
        <f t="shared" si="174"/>
        <v>0</v>
      </c>
      <c r="I376" s="155">
        <f t="shared" si="174"/>
        <v>727500</v>
      </c>
      <c r="J376" s="155">
        <f t="shared" si="174"/>
        <v>485000</v>
      </c>
      <c r="K376" s="155">
        <f t="shared" si="174"/>
        <v>485000</v>
      </c>
      <c r="L376" s="155">
        <f t="shared" si="174"/>
        <v>1525750</v>
      </c>
      <c r="M376" s="155">
        <f t="shared" si="174"/>
        <v>0</v>
      </c>
      <c r="N376" s="155">
        <f t="shared" si="174"/>
        <v>0</v>
      </c>
      <c r="O376" s="155">
        <f t="shared" si="174"/>
        <v>0</v>
      </c>
      <c r="P376" s="155">
        <f t="shared" si="174"/>
        <v>242500</v>
      </c>
      <c r="Q376" s="155">
        <f t="shared" si="174"/>
        <v>242500</v>
      </c>
      <c r="R376" s="155">
        <f t="shared" si="174"/>
        <v>727500</v>
      </c>
      <c r="S376" s="155">
        <f t="shared" si="174"/>
        <v>485000</v>
      </c>
      <c r="T376" s="156">
        <f t="shared" si="174"/>
        <v>1525750</v>
      </c>
      <c r="U376" s="159"/>
    </row>
    <row r="377" spans="1:21">
      <c r="C377" s="110">
        <v>3</v>
      </c>
      <c r="D377" s="108" t="s">
        <v>91</v>
      </c>
      <c r="E377" s="168">
        <f t="shared" ref="E377:T377" si="175">SUM(E331,E346,E361)</f>
        <v>0</v>
      </c>
      <c r="F377" s="155">
        <f t="shared" si="175"/>
        <v>0</v>
      </c>
      <c r="G377" s="155">
        <f t="shared" si="175"/>
        <v>0</v>
      </c>
      <c r="H377" s="155">
        <f t="shared" si="175"/>
        <v>0</v>
      </c>
      <c r="I377" s="155">
        <f t="shared" si="175"/>
        <v>0</v>
      </c>
      <c r="J377" s="155">
        <f t="shared" si="175"/>
        <v>552900</v>
      </c>
      <c r="K377" s="155">
        <f t="shared" si="175"/>
        <v>368600</v>
      </c>
      <c r="L377" s="155">
        <f t="shared" si="175"/>
        <v>368600</v>
      </c>
      <c r="M377" s="155">
        <f t="shared" si="175"/>
        <v>1176050</v>
      </c>
      <c r="N377" s="155">
        <f t="shared" si="175"/>
        <v>0</v>
      </c>
      <c r="O377" s="155">
        <f t="shared" si="175"/>
        <v>0</v>
      </c>
      <c r="P377" s="155">
        <f t="shared" si="175"/>
        <v>0</v>
      </c>
      <c r="Q377" s="155">
        <f t="shared" si="175"/>
        <v>184300</v>
      </c>
      <c r="R377" s="155">
        <f t="shared" si="175"/>
        <v>184300</v>
      </c>
      <c r="S377" s="155">
        <f t="shared" si="175"/>
        <v>552900</v>
      </c>
      <c r="T377" s="156">
        <f t="shared" si="175"/>
        <v>368600</v>
      </c>
      <c r="U377" s="159"/>
    </row>
    <row r="378" spans="1:21">
      <c r="C378" s="110">
        <v>4</v>
      </c>
      <c r="D378" s="108" t="s">
        <v>92</v>
      </c>
      <c r="E378" s="168">
        <f t="shared" ref="E378:T378" si="176">SUM(E332,E347,E362)</f>
        <v>0</v>
      </c>
      <c r="F378" s="155">
        <f t="shared" si="176"/>
        <v>0</v>
      </c>
      <c r="G378" s="155">
        <f t="shared" si="176"/>
        <v>0</v>
      </c>
      <c r="H378" s="155">
        <f t="shared" si="176"/>
        <v>0</v>
      </c>
      <c r="I378" s="155">
        <f t="shared" si="176"/>
        <v>0</v>
      </c>
      <c r="J378" s="155">
        <f t="shared" si="176"/>
        <v>0</v>
      </c>
      <c r="K378" s="155">
        <f t="shared" si="176"/>
        <v>407400</v>
      </c>
      <c r="L378" s="155">
        <f t="shared" si="176"/>
        <v>271600</v>
      </c>
      <c r="M378" s="155">
        <f t="shared" si="176"/>
        <v>271600</v>
      </c>
      <c r="N378" s="155">
        <f t="shared" si="176"/>
        <v>884633.33333333326</v>
      </c>
      <c r="O378" s="155">
        <f t="shared" si="176"/>
        <v>0</v>
      </c>
      <c r="P378" s="155">
        <f t="shared" si="176"/>
        <v>0</v>
      </c>
      <c r="Q378" s="155">
        <f t="shared" si="176"/>
        <v>0</v>
      </c>
      <c r="R378" s="155">
        <f t="shared" si="176"/>
        <v>135800</v>
      </c>
      <c r="S378" s="155">
        <f t="shared" si="176"/>
        <v>135800</v>
      </c>
      <c r="T378" s="156">
        <f t="shared" si="176"/>
        <v>407400</v>
      </c>
      <c r="U378" s="159"/>
    </row>
    <row r="379" spans="1:21">
      <c r="C379" s="110">
        <v>5</v>
      </c>
      <c r="D379" s="108" t="s">
        <v>93</v>
      </c>
      <c r="E379" s="168">
        <f t="shared" ref="E379:T379" si="177">SUM(E333,E348,E363)</f>
        <v>1330500</v>
      </c>
      <c r="F379" s="155">
        <f t="shared" si="177"/>
        <v>1330500</v>
      </c>
      <c r="G379" s="155">
        <f t="shared" si="177"/>
        <v>0</v>
      </c>
      <c r="H379" s="155">
        <f t="shared" si="177"/>
        <v>0</v>
      </c>
      <c r="I379" s="155">
        <f t="shared" si="177"/>
        <v>0</v>
      </c>
      <c r="J379" s="155">
        <f t="shared" si="177"/>
        <v>0</v>
      </c>
      <c r="K379" s="155">
        <f t="shared" si="177"/>
        <v>0</v>
      </c>
      <c r="L379" s="155">
        <f t="shared" si="177"/>
        <v>291000</v>
      </c>
      <c r="M379" s="155">
        <f t="shared" si="177"/>
        <v>194000</v>
      </c>
      <c r="N379" s="155">
        <f t="shared" si="177"/>
        <v>194000</v>
      </c>
      <c r="O379" s="155">
        <f t="shared" si="177"/>
        <v>651500</v>
      </c>
      <c r="P379" s="155">
        <f t="shared" si="177"/>
        <v>0</v>
      </c>
      <c r="Q379" s="155">
        <f t="shared" si="177"/>
        <v>0</v>
      </c>
      <c r="R379" s="155">
        <f t="shared" si="177"/>
        <v>0</v>
      </c>
      <c r="S379" s="155">
        <f t="shared" si="177"/>
        <v>97000</v>
      </c>
      <c r="T379" s="156">
        <f t="shared" si="177"/>
        <v>97000</v>
      </c>
      <c r="U379" s="159"/>
    </row>
    <row r="380" spans="1:21">
      <c r="C380" s="110">
        <v>6</v>
      </c>
      <c r="D380" s="108" t="s">
        <v>94</v>
      </c>
      <c r="E380" s="168">
        <f t="shared" ref="E380:T380" si="178">SUM(E334,E349,E364)</f>
        <v>0</v>
      </c>
      <c r="F380" s="155">
        <f t="shared" si="178"/>
        <v>0</v>
      </c>
      <c r="G380" s="155">
        <f t="shared" si="178"/>
        <v>748250</v>
      </c>
      <c r="H380" s="155">
        <f t="shared" si="178"/>
        <v>0</v>
      </c>
      <c r="I380" s="155">
        <f t="shared" si="178"/>
        <v>0</v>
      </c>
      <c r="J380" s="155">
        <f t="shared" si="178"/>
        <v>0</v>
      </c>
      <c r="K380" s="155">
        <f t="shared" si="178"/>
        <v>0</v>
      </c>
      <c r="L380" s="155">
        <f t="shared" si="178"/>
        <v>0</v>
      </c>
      <c r="M380" s="155">
        <f t="shared" si="178"/>
        <v>203700</v>
      </c>
      <c r="N380" s="155">
        <f t="shared" si="178"/>
        <v>135800</v>
      </c>
      <c r="O380" s="155">
        <f t="shared" si="178"/>
        <v>135800</v>
      </c>
      <c r="P380" s="155">
        <f t="shared" si="178"/>
        <v>476649.99999999994</v>
      </c>
      <c r="Q380" s="155">
        <f t="shared" si="178"/>
        <v>0</v>
      </c>
      <c r="R380" s="155">
        <f t="shared" si="178"/>
        <v>0</v>
      </c>
      <c r="S380" s="155">
        <f t="shared" si="178"/>
        <v>0</v>
      </c>
      <c r="T380" s="156">
        <f t="shared" si="178"/>
        <v>67900</v>
      </c>
      <c r="U380" s="159"/>
    </row>
    <row r="381" spans="1:21">
      <c r="C381" s="110">
        <v>7</v>
      </c>
      <c r="D381" s="108" t="s">
        <v>95</v>
      </c>
      <c r="E381" s="168">
        <f t="shared" ref="E381:T381" si="179">SUM(E335,E350,E365)</f>
        <v>0</v>
      </c>
      <c r="F381" s="155">
        <f t="shared" si="179"/>
        <v>0</v>
      </c>
      <c r="G381" s="155">
        <f t="shared" si="179"/>
        <v>0</v>
      </c>
      <c r="H381" s="155">
        <f t="shared" si="179"/>
        <v>457083.33333333326</v>
      </c>
      <c r="I381" s="155">
        <f t="shared" si="179"/>
        <v>0</v>
      </c>
      <c r="J381" s="155">
        <f t="shared" si="179"/>
        <v>0</v>
      </c>
      <c r="K381" s="155">
        <f t="shared" si="179"/>
        <v>0</v>
      </c>
      <c r="L381" s="155">
        <f t="shared" si="179"/>
        <v>0</v>
      </c>
      <c r="M381" s="155">
        <f t="shared" si="179"/>
        <v>0</v>
      </c>
      <c r="N381" s="155">
        <f t="shared" si="179"/>
        <v>97000</v>
      </c>
      <c r="O381" s="155">
        <f t="shared" si="179"/>
        <v>97000</v>
      </c>
      <c r="P381" s="155">
        <f t="shared" si="179"/>
        <v>97000</v>
      </c>
      <c r="Q381" s="155">
        <f t="shared" si="179"/>
        <v>360083.33333333326</v>
      </c>
      <c r="R381" s="155">
        <f t="shared" si="179"/>
        <v>0</v>
      </c>
      <c r="S381" s="155">
        <f t="shared" si="179"/>
        <v>0</v>
      </c>
      <c r="T381" s="156">
        <f t="shared" si="179"/>
        <v>0</v>
      </c>
      <c r="U381" s="159"/>
    </row>
    <row r="382" spans="1:21">
      <c r="C382" s="110">
        <v>8</v>
      </c>
      <c r="D382" s="108" t="s">
        <v>96</v>
      </c>
      <c r="E382" s="168">
        <f t="shared" ref="E382:T382" si="180">SUM(E336,E351,E366)</f>
        <v>0</v>
      </c>
      <c r="F382" s="155">
        <f t="shared" si="180"/>
        <v>0</v>
      </c>
      <c r="G382" s="155">
        <f t="shared" si="180"/>
        <v>0</v>
      </c>
      <c r="H382" s="155">
        <f t="shared" si="180"/>
        <v>0</v>
      </c>
      <c r="I382" s="155">
        <f t="shared" si="180"/>
        <v>301800</v>
      </c>
      <c r="J382" s="155">
        <f t="shared" si="180"/>
        <v>0</v>
      </c>
      <c r="K382" s="155">
        <f t="shared" si="180"/>
        <v>0</v>
      </c>
      <c r="L382" s="155">
        <f t="shared" si="180"/>
        <v>0</v>
      </c>
      <c r="M382" s="155">
        <f t="shared" si="180"/>
        <v>0</v>
      </c>
      <c r="N382" s="155">
        <f t="shared" si="180"/>
        <v>0</v>
      </c>
      <c r="O382" s="155">
        <f t="shared" si="180"/>
        <v>38800</v>
      </c>
      <c r="P382" s="155">
        <f t="shared" si="180"/>
        <v>0</v>
      </c>
      <c r="Q382" s="155">
        <f t="shared" si="180"/>
        <v>0</v>
      </c>
      <c r="R382" s="155">
        <f t="shared" si="180"/>
        <v>0</v>
      </c>
      <c r="S382" s="155">
        <f t="shared" si="180"/>
        <v>0</v>
      </c>
      <c r="T382" s="156">
        <f t="shared" si="180"/>
        <v>0</v>
      </c>
      <c r="U382" s="159"/>
    </row>
    <row r="383" spans="1:21">
      <c r="C383" s="110">
        <v>9</v>
      </c>
      <c r="D383" s="108" t="s">
        <v>97</v>
      </c>
      <c r="E383" s="168">
        <f t="shared" ref="E383:T383" si="181">SUM(E337,E352,E367)</f>
        <v>0</v>
      </c>
      <c r="F383" s="155">
        <f t="shared" si="181"/>
        <v>0</v>
      </c>
      <c r="G383" s="155">
        <f t="shared" si="181"/>
        <v>0</v>
      </c>
      <c r="H383" s="155">
        <f t="shared" si="181"/>
        <v>0</v>
      </c>
      <c r="I383" s="155">
        <f t="shared" si="181"/>
        <v>0</v>
      </c>
      <c r="J383" s="155">
        <f t="shared" si="181"/>
        <v>0</v>
      </c>
      <c r="K383" s="155">
        <f t="shared" si="181"/>
        <v>0</v>
      </c>
      <c r="L383" s="155">
        <f t="shared" si="181"/>
        <v>0</v>
      </c>
      <c r="M383" s="155">
        <f t="shared" si="181"/>
        <v>0</v>
      </c>
      <c r="N383" s="155">
        <f t="shared" si="181"/>
        <v>0</v>
      </c>
      <c r="O383" s="155">
        <f t="shared" si="181"/>
        <v>0</v>
      </c>
      <c r="P383" s="155">
        <f t="shared" si="181"/>
        <v>0</v>
      </c>
      <c r="Q383" s="155">
        <f t="shared" si="181"/>
        <v>0</v>
      </c>
      <c r="R383" s="155">
        <f t="shared" si="181"/>
        <v>0</v>
      </c>
      <c r="S383" s="155">
        <f t="shared" si="181"/>
        <v>0</v>
      </c>
      <c r="T383" s="156">
        <f t="shared" si="181"/>
        <v>0</v>
      </c>
      <c r="U383" s="159"/>
    </row>
    <row r="384" spans="1:21">
      <c r="C384" s="110">
        <v>10</v>
      </c>
      <c r="D384" s="109" t="s">
        <v>98</v>
      </c>
      <c r="E384" s="168">
        <f t="shared" ref="E384:T384" si="182">SUM(E338,E353,E368)</f>
        <v>0</v>
      </c>
      <c r="F384" s="155">
        <f t="shared" si="182"/>
        <v>0</v>
      </c>
      <c r="G384" s="155">
        <f t="shared" si="182"/>
        <v>0</v>
      </c>
      <c r="H384" s="155">
        <f t="shared" si="182"/>
        <v>0</v>
      </c>
      <c r="I384" s="155">
        <f t="shared" si="182"/>
        <v>0</v>
      </c>
      <c r="J384" s="155">
        <f t="shared" si="182"/>
        <v>0</v>
      </c>
      <c r="K384" s="155">
        <f t="shared" si="182"/>
        <v>0</v>
      </c>
      <c r="L384" s="155">
        <f t="shared" si="182"/>
        <v>0</v>
      </c>
      <c r="M384" s="155">
        <f t="shared" si="182"/>
        <v>0</v>
      </c>
      <c r="N384" s="155">
        <f t="shared" si="182"/>
        <v>0</v>
      </c>
      <c r="O384" s="155">
        <f t="shared" si="182"/>
        <v>0</v>
      </c>
      <c r="P384" s="155">
        <f t="shared" si="182"/>
        <v>0</v>
      </c>
      <c r="Q384" s="155">
        <f t="shared" si="182"/>
        <v>0</v>
      </c>
      <c r="R384" s="155">
        <f t="shared" si="182"/>
        <v>0</v>
      </c>
      <c r="S384" s="155">
        <f t="shared" si="182"/>
        <v>0</v>
      </c>
      <c r="T384" s="156">
        <f t="shared" si="182"/>
        <v>0</v>
      </c>
      <c r="U384" s="159"/>
    </row>
    <row r="385" spans="1:40">
      <c r="A385" s="4"/>
      <c r="B385" s="4"/>
      <c r="C385" s="111" t="s">
        <v>88</v>
      </c>
      <c r="D385" s="112"/>
      <c r="E385" s="157">
        <f>SUM(E374:E384)</f>
        <v>1330500</v>
      </c>
      <c r="F385" s="157">
        <f t="shared" ref="F385:T385" si="183">SUM(F374:F384)</f>
        <v>1330500</v>
      </c>
      <c r="G385" s="157">
        <f t="shared" si="183"/>
        <v>1912250</v>
      </c>
      <c r="H385" s="157">
        <f t="shared" si="183"/>
        <v>2164283.333333333</v>
      </c>
      <c r="I385" s="157">
        <f t="shared" si="183"/>
        <v>2426100</v>
      </c>
      <c r="J385" s="157">
        <f t="shared" si="183"/>
        <v>4058700</v>
      </c>
      <c r="K385" s="157">
        <f t="shared" si="183"/>
        <v>3194733.3333333335</v>
      </c>
      <c r="L385" s="157">
        <f t="shared" si="183"/>
        <v>2456950</v>
      </c>
      <c r="M385" s="157">
        <f t="shared" si="183"/>
        <v>1845350</v>
      </c>
      <c r="N385" s="157">
        <f t="shared" si="183"/>
        <v>1699433.3333333333</v>
      </c>
      <c r="O385" s="157">
        <f t="shared" si="183"/>
        <v>1621500</v>
      </c>
      <c r="P385" s="157">
        <f t="shared" si="183"/>
        <v>2290550</v>
      </c>
      <c r="Q385" s="157">
        <f t="shared" si="183"/>
        <v>2494083.333333333</v>
      </c>
      <c r="R385" s="157">
        <f t="shared" si="183"/>
        <v>4068400</v>
      </c>
      <c r="S385" s="157">
        <f t="shared" si="183"/>
        <v>3204433.3333333335</v>
      </c>
      <c r="T385" s="158">
        <f t="shared" si="183"/>
        <v>2466650</v>
      </c>
      <c r="U385" s="159"/>
    </row>
    <row r="386" spans="1:40" s="4" customFormat="1">
      <c r="A386" s="2"/>
      <c r="B386" s="2"/>
      <c r="C386" s="2"/>
      <c r="D386" s="2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115"/>
      <c r="U386" s="159"/>
    </row>
    <row r="387" spans="1:40" s="4" customFormat="1">
      <c r="A387" s="2"/>
      <c r="B387" s="2"/>
      <c r="C387" s="2"/>
      <c r="D387" s="2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115"/>
      <c r="U387" s="159"/>
      <c r="Y387" s="105" t="s">
        <v>99</v>
      </c>
      <c r="Z387" s="106">
        <v>1</v>
      </c>
      <c r="AA387" s="106">
        <f t="shared" ref="AA387:AN387" si="184">+Z387+1</f>
        <v>2</v>
      </c>
      <c r="AB387" s="106">
        <f t="shared" si="184"/>
        <v>3</v>
      </c>
      <c r="AC387" s="106">
        <f t="shared" si="184"/>
        <v>4</v>
      </c>
      <c r="AD387" s="106">
        <f t="shared" si="184"/>
        <v>5</v>
      </c>
      <c r="AE387" s="106">
        <f t="shared" si="184"/>
        <v>6</v>
      </c>
      <c r="AF387" s="106">
        <f t="shared" si="184"/>
        <v>7</v>
      </c>
      <c r="AG387" s="106">
        <f t="shared" si="184"/>
        <v>8</v>
      </c>
      <c r="AH387" s="106">
        <f t="shared" si="184"/>
        <v>9</v>
      </c>
      <c r="AI387" s="106">
        <f t="shared" si="184"/>
        <v>10</v>
      </c>
      <c r="AJ387" s="106">
        <f t="shared" si="184"/>
        <v>11</v>
      </c>
      <c r="AK387" s="106">
        <f t="shared" si="184"/>
        <v>12</v>
      </c>
      <c r="AL387" s="106">
        <f t="shared" si="184"/>
        <v>13</v>
      </c>
      <c r="AM387" s="106">
        <f t="shared" si="184"/>
        <v>14</v>
      </c>
      <c r="AN387" s="107">
        <f t="shared" si="184"/>
        <v>15</v>
      </c>
    </row>
    <row r="388" spans="1:40">
      <c r="T388" s="115"/>
    </row>
    <row r="389" spans="1:40">
      <c r="T389" s="115"/>
    </row>
  </sheetData>
  <mergeCells count="40">
    <mergeCell ref="C342:D342"/>
    <mergeCell ref="C356:F356"/>
    <mergeCell ref="C357:D357"/>
    <mergeCell ref="C372:F372"/>
    <mergeCell ref="C373:D373"/>
    <mergeCell ref="C308:F308"/>
    <mergeCell ref="C309:D309"/>
    <mergeCell ref="C326:F326"/>
    <mergeCell ref="C327:D327"/>
    <mergeCell ref="C341:F341"/>
    <mergeCell ref="C278:F278"/>
    <mergeCell ref="C279:D279"/>
    <mergeCell ref="C293:F293"/>
    <mergeCell ref="C294:D294"/>
    <mergeCell ref="C261:D261"/>
    <mergeCell ref="C186:D186"/>
    <mergeCell ref="C216:D216"/>
    <mergeCell ref="C201:D201"/>
    <mergeCell ref="C231:D231"/>
    <mergeCell ref="C246:D246"/>
    <mergeCell ref="C97:D97"/>
    <mergeCell ref="C14:D14"/>
    <mergeCell ref="C13:F13"/>
    <mergeCell ref="C29:F29"/>
    <mergeCell ref="C30:D30"/>
    <mergeCell ref="C45:F45"/>
    <mergeCell ref="C46:D46"/>
    <mergeCell ref="C64:F64"/>
    <mergeCell ref="C65:D65"/>
    <mergeCell ref="C80:F80"/>
    <mergeCell ref="C81:D81"/>
    <mergeCell ref="C96:F96"/>
    <mergeCell ref="C164:F164"/>
    <mergeCell ref="C165:D165"/>
    <mergeCell ref="C115:F115"/>
    <mergeCell ref="C116:D116"/>
    <mergeCell ref="C131:F131"/>
    <mergeCell ref="C132:D132"/>
    <mergeCell ref="C147:F147"/>
    <mergeCell ref="C148:D148"/>
  </mergeCells>
  <conditionalFormatting sqref="E178:T178">
    <cfRule type="cellIs" dxfId="9" priority="4" operator="greaterThan">
      <formula>5</formula>
    </cfRule>
    <cfRule type="cellIs" dxfId="8" priority="13" operator="greaterThan">
      <formula>6</formula>
    </cfRule>
  </conditionalFormatting>
  <conditionalFormatting sqref="E133:T143">
    <cfRule type="cellIs" dxfId="7" priority="11" operator="equal">
      <formula>0</formula>
    </cfRule>
  </conditionalFormatting>
  <conditionalFormatting sqref="E117:T127">
    <cfRule type="cellIs" dxfId="6" priority="10" operator="equal">
      <formula>0</formula>
    </cfRule>
  </conditionalFormatting>
  <conditionalFormatting sqref="E149:T159">
    <cfRule type="cellIs" dxfId="5" priority="9" operator="equal">
      <formula>0</formula>
    </cfRule>
  </conditionalFormatting>
  <conditionalFormatting sqref="U133:U143">
    <cfRule type="cellIs" dxfId="4" priority="7" operator="equal">
      <formula>0</formula>
    </cfRule>
  </conditionalFormatting>
  <conditionalFormatting sqref="U149:U159">
    <cfRule type="cellIs" dxfId="3" priority="6" operator="equal">
      <formula>0</formula>
    </cfRule>
  </conditionalFormatting>
  <conditionalFormatting sqref="U117:U127">
    <cfRule type="cellIs" dxfId="2" priority="5" operator="equal">
      <formula>0</formula>
    </cfRule>
  </conditionalFormatting>
  <conditionalFormatting sqref="U178">
    <cfRule type="cellIs" dxfId="1" priority="1" operator="greaterThan">
      <formula>5</formula>
    </cfRule>
    <cfRule type="cellIs" dxfId="0" priority="2" operator="greaterThan">
      <formula>6</formula>
    </cfRule>
  </conditionalFormatting>
  <pageMargins left="0.51181102362204722" right="0.51181102362204722" top="0.78740157480314965" bottom="0.78740157480314965" header="0.31496062992125984" footer="0.31496062992125984"/>
  <pageSetup paperSize="9" scale="73" fitToHeight="9" orientation="landscape" verticalDpi="300" r:id="rId1"/>
  <rowBreaks count="9" manualBreakCount="9">
    <brk id="44" min="1" max="20" man="1"/>
    <brk id="79" min="1" max="20" man="1"/>
    <brk id="112" min="1" max="20" man="1"/>
    <brk id="146" min="1" max="20" man="1"/>
    <brk id="180" min="1" max="20" man="1"/>
    <brk id="244" min="1" max="20" man="1"/>
    <brk id="292" min="1" max="20" man="1"/>
    <brk id="323" min="1" max="20" man="1"/>
    <brk id="355" min="1" max="2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64"/>
  <sheetViews>
    <sheetView showGridLines="0" view="pageBreakPreview" topLeftCell="A43" zoomScaleNormal="100" zoomScaleSheetLayoutView="100" workbookViewId="0"/>
  </sheetViews>
  <sheetFormatPr defaultRowHeight="12.75"/>
  <cols>
    <col min="1" max="1" width="1.140625" style="2" customWidth="1"/>
    <col min="2" max="2" width="2.42578125" style="2" customWidth="1"/>
    <col min="3" max="3" width="2.7109375" style="2" customWidth="1"/>
    <col min="4" max="4" width="28.140625" style="2" customWidth="1"/>
    <col min="5" max="5" width="13.28515625" style="83" customWidth="1"/>
    <col min="6" max="20" width="8.85546875" style="83" bestFit="1" customWidth="1"/>
    <col min="21" max="23" width="9.140625" style="2"/>
    <col min="24" max="24" width="24.85546875" style="2" bestFit="1" customWidth="1"/>
    <col min="25" max="16384" width="9.140625" style="2"/>
  </cols>
  <sheetData>
    <row r="1" spans="1:20">
      <c r="B1" s="1"/>
      <c r="C1" s="1"/>
      <c r="D1" s="1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1:20" ht="15">
      <c r="B2" s="1"/>
      <c r="C2" s="1"/>
      <c r="D2" s="1"/>
      <c r="E2" s="403" t="s">
        <v>365</v>
      </c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</row>
    <row r="3" spans="1:20" ht="15">
      <c r="B3" s="1"/>
      <c r="C3" s="1"/>
      <c r="D3" s="1"/>
      <c r="E3" s="403" t="str">
        <f>MENU!$B$3&amp;"  -  "&amp;+MENU!$B$4</f>
        <v xml:space="preserve">CONCORRÊNCIA Nº 003/18  -  </v>
      </c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</row>
    <row r="4" spans="1:20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</row>
    <row r="5" spans="1:20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37" t="str">
        <f>+MENU!$C$5</f>
        <v>DATA BASE DE CÁLCULO: MARÇO 2020</v>
      </c>
    </row>
    <row r="7" spans="1:20" ht="15.75">
      <c r="B7" s="381" t="s">
        <v>113</v>
      </c>
    </row>
    <row r="9" spans="1:20" ht="15.75">
      <c r="A9" s="2">
        <v>1</v>
      </c>
      <c r="C9" s="718" t="str">
        <f>"8.1 - "&amp;VLOOKUP(A9,TIPOLOGIA!$D$10:$E$12,2,0)</f>
        <v>8.1 - MICROÔNIBUS</v>
      </c>
      <c r="D9" s="718"/>
      <c r="E9" s="718"/>
      <c r="F9" s="718"/>
    </row>
    <row r="10" spans="1:20">
      <c r="C10" s="309"/>
      <c r="D10" s="309"/>
      <c r="E10" s="309"/>
      <c r="F10" s="309"/>
    </row>
    <row r="11" spans="1:20" ht="18" customHeight="1">
      <c r="C11" s="705" t="s">
        <v>111</v>
      </c>
      <c r="D11" s="719"/>
      <c r="E11" s="105" t="s">
        <v>99</v>
      </c>
      <c r="F11" s="106">
        <v>1</v>
      </c>
      <c r="G11" s="106">
        <f t="shared" ref="G11:T11" si="0">+F11+1</f>
        <v>2</v>
      </c>
      <c r="H11" s="106">
        <f t="shared" si="0"/>
        <v>3</v>
      </c>
      <c r="I11" s="106">
        <f t="shared" si="0"/>
        <v>4</v>
      </c>
      <c r="J11" s="106">
        <f t="shared" si="0"/>
        <v>5</v>
      </c>
      <c r="K11" s="106">
        <f t="shared" si="0"/>
        <v>6</v>
      </c>
      <c r="L11" s="106">
        <f t="shared" si="0"/>
        <v>7</v>
      </c>
      <c r="M11" s="106">
        <f t="shared" si="0"/>
        <v>8</v>
      </c>
      <c r="N11" s="106">
        <f t="shared" si="0"/>
        <v>9</v>
      </c>
      <c r="O11" s="106">
        <f t="shared" si="0"/>
        <v>10</v>
      </c>
      <c r="P11" s="106">
        <f t="shared" si="0"/>
        <v>11</v>
      </c>
      <c r="Q11" s="106">
        <f t="shared" si="0"/>
        <v>12</v>
      </c>
      <c r="R11" s="106">
        <f t="shared" si="0"/>
        <v>13</v>
      </c>
      <c r="S11" s="106">
        <f t="shared" si="0"/>
        <v>14</v>
      </c>
      <c r="T11" s="107">
        <f t="shared" si="0"/>
        <v>15</v>
      </c>
    </row>
    <row r="12" spans="1:20">
      <c r="C12" s="110">
        <v>0</v>
      </c>
      <c r="D12" s="108" t="s">
        <v>87</v>
      </c>
      <c r="E12" s="155"/>
      <c r="F12" s="155">
        <f>SUMPRODUCT(('7. INVESTIMENTO FROTA'!$E$186:F$186&gt;F$11-5)*(('7. INVESTIMENTO FROTA'!$E202:F202*0.2)))</f>
        <v>0</v>
      </c>
      <c r="G12" s="155">
        <f>SUMPRODUCT(('7. INVESTIMENTO FROTA'!$E$186:G$186&gt;G$11-5)*(('7. INVESTIMENTO FROTA'!$E202:G202*0.2)))</f>
        <v>0</v>
      </c>
      <c r="H12" s="155">
        <f>SUMPRODUCT(('7. INVESTIMENTO FROTA'!$E$186:H$186&gt;H$11-5)*(('7. INVESTIMENTO FROTA'!$E202:H202*0.2)))</f>
        <v>0</v>
      </c>
      <c r="I12" s="155">
        <f>SUMPRODUCT(('7. INVESTIMENTO FROTA'!$E$186:I$186&gt;I$11-5)*(('7. INVESTIMENTO FROTA'!$E202:I202*0.2)))</f>
        <v>0</v>
      </c>
      <c r="J12" s="155">
        <f>SUMPRODUCT(('7. INVESTIMENTO FROTA'!$E$186:J$186&gt;J$11-5)*(('7. INVESTIMENTO FROTA'!$E202:J202*0.2)))</f>
        <v>244606.20800000001</v>
      </c>
      <c r="K12" s="155">
        <f>IFERROR(SUMPRODUCT(('7. INVESTIMENTO FROTA'!F$186:K$186&gt;K$11-5)*(('7. INVESTIMENTO FROTA'!F202:K202*0.2))),0)</f>
        <v>244606.20800000001</v>
      </c>
      <c r="L12" s="155">
        <f>IFERROR(SUMPRODUCT(('7. INVESTIMENTO FROTA'!G$186:L$186&gt;L$11-5)*(('7. INVESTIMENTO FROTA'!G202:L202*0.2))),0)</f>
        <v>244606.20800000001</v>
      </c>
      <c r="M12" s="155">
        <f>IFERROR(SUMPRODUCT(('7. INVESTIMENTO FROTA'!H$186:M$186&gt;M$11-5)*(('7. INVESTIMENTO FROTA'!H202:M202*0.2))),0)</f>
        <v>244606.20800000001</v>
      </c>
      <c r="N12" s="155">
        <f>IFERROR(SUMPRODUCT(('7. INVESTIMENTO FROTA'!I$186:N$186&gt;N$11-5)*(('7. INVESTIMENTO FROTA'!I202:N202*0.2))),0)</f>
        <v>244606.20800000001</v>
      </c>
      <c r="O12" s="155">
        <f>IFERROR(SUMPRODUCT(('7. INVESTIMENTO FROTA'!J$186:O$186&gt;O$11-5)*(('7. INVESTIMENTO FROTA'!J202:O202*0.2))),0)</f>
        <v>0</v>
      </c>
      <c r="P12" s="155">
        <f>IFERROR(SUMPRODUCT(('7. INVESTIMENTO FROTA'!K$186:P$186&gt;P$11-5)*(('7. INVESTIMENTO FROTA'!K202:P202*0.2))),0)</f>
        <v>0</v>
      </c>
      <c r="Q12" s="155">
        <f>IFERROR(SUMPRODUCT(('7. INVESTIMENTO FROTA'!L$186:Q$186&gt;Q$11-5)*(('7. INVESTIMENTO FROTA'!L202:Q202*0.2))),0)</f>
        <v>0</v>
      </c>
      <c r="R12" s="155">
        <f>IFERROR(SUMPRODUCT(('7. INVESTIMENTO FROTA'!M$186:R$186&gt;R$11-5)*(('7. INVESTIMENTO FROTA'!M202:R202*0.2))),0)</f>
        <v>244606.20800000001</v>
      </c>
      <c r="S12" s="155">
        <f>IFERROR(SUMPRODUCT(('7. INVESTIMENTO FROTA'!N$186:S$186&gt;S$11-5)*(('7. INVESTIMENTO FROTA'!N202:S202*0.2))),0)</f>
        <v>244606.20800000001</v>
      </c>
      <c r="T12" s="156">
        <f>IFERROR(SUMPRODUCT(('7. INVESTIMENTO FROTA'!O$186:T$186&gt;T$11-5)*(('7. INVESTIMENTO FROTA'!O202:T202*0.2))),0)</f>
        <v>244606.20800000001</v>
      </c>
    </row>
    <row r="13" spans="1:20">
      <c r="C13" s="110">
        <v>1</v>
      </c>
      <c r="D13" s="108" t="s">
        <v>89</v>
      </c>
      <c r="E13" s="155"/>
      <c r="F13" s="155">
        <f>SUMPRODUCT(('7. INVESTIMENTO FROTA'!$E$186:F$186&gt;F$11-5)*(('7. INVESTIMENTO FROTA'!$E203:F203*0.2)))</f>
        <v>0</v>
      </c>
      <c r="G13" s="155">
        <f>SUMPRODUCT(('7. INVESTIMENTO FROTA'!$E$186:G$186&gt;G$11-5)*(('7. INVESTIMENTO FROTA'!$E203:G203*0.2)))</f>
        <v>0</v>
      </c>
      <c r="H13" s="155">
        <f>SUMPRODUCT(('7. INVESTIMENTO FROTA'!$E$186:H$186&gt;H$11-5)*(('7. INVESTIMENTO FROTA'!$E203:H203*0.2)))</f>
        <v>0</v>
      </c>
      <c r="I13" s="155">
        <f>SUMPRODUCT(('7. INVESTIMENTO FROTA'!$E$186:I$186&gt;I$11-5)*(('7. INVESTIMENTO FROTA'!$E203:I203*0.2)))</f>
        <v>0</v>
      </c>
      <c r="J13" s="155">
        <f>SUMPRODUCT(('7. INVESTIMENTO FROTA'!$E$186:J$186&gt;J$11-5)*(('7. INVESTIMENTO FROTA'!$E203:J203*0.2)))</f>
        <v>0</v>
      </c>
      <c r="K13" s="155">
        <f>IFERROR(SUMPRODUCT(('7. INVESTIMENTO FROTA'!F$186:K$186&gt;K$11-5)*(('7. INVESTIMENTO FROTA'!F203:K203*0.2))),0)</f>
        <v>0</v>
      </c>
      <c r="L13" s="155">
        <f>IFERROR(SUMPRODUCT(('7. INVESTIMENTO FROTA'!G$186:L$186&gt;L$11-5)*(('7. INVESTIMENTO FROTA'!G203:L203*0.2))),0)</f>
        <v>0</v>
      </c>
      <c r="M13" s="155">
        <f>IFERROR(SUMPRODUCT(('7. INVESTIMENTO FROTA'!H$186:M$186&gt;M$11-5)*(('7. INVESTIMENTO FROTA'!H203:M203*0.2))),0)</f>
        <v>0</v>
      </c>
      <c r="N13" s="155">
        <f>IFERROR(SUMPRODUCT(('7. INVESTIMENTO FROTA'!I$186:N$186&gt;N$11-5)*(('7. INVESTIMENTO FROTA'!I203:N203*0.2))),0)</f>
        <v>0</v>
      </c>
      <c r="O13" s="155">
        <f>IFERROR(SUMPRODUCT(('7. INVESTIMENTO FROTA'!J$186:O$186&gt;O$11-5)*(('7. INVESTIMENTO FROTA'!J203:O203*0.2))),0)</f>
        <v>0</v>
      </c>
      <c r="P13" s="155">
        <f>IFERROR(SUMPRODUCT(('7. INVESTIMENTO FROTA'!K$186:P$186&gt;P$11-5)*(('7. INVESTIMENTO FROTA'!K203:P203*0.2))),0)</f>
        <v>0</v>
      </c>
      <c r="Q13" s="155">
        <f>IFERROR(SUMPRODUCT(('7. INVESTIMENTO FROTA'!L$186:Q$186&gt;Q$11-5)*(('7. INVESTIMENTO FROTA'!L203:Q203*0.2))),0)</f>
        <v>0</v>
      </c>
      <c r="R13" s="155">
        <f>IFERROR(SUMPRODUCT(('7. INVESTIMENTO FROTA'!M$186:R$186&gt;R$11-5)*(('7. INVESTIMENTO FROTA'!M203:R203*0.2))),0)</f>
        <v>0</v>
      </c>
      <c r="S13" s="155">
        <f>IFERROR(SUMPRODUCT(('7. INVESTIMENTO FROTA'!N$186:S$186&gt;S$11-5)*(('7. INVESTIMENTO FROTA'!N203:S203*0.2))),0)</f>
        <v>0</v>
      </c>
      <c r="T13" s="156">
        <f>IFERROR(SUMPRODUCT(('7. INVESTIMENTO FROTA'!O$186:T$186&gt;T$11-5)*(('7. INVESTIMENTO FROTA'!O203:T203*0.2))),0)</f>
        <v>0</v>
      </c>
    </row>
    <row r="14" spans="1:20">
      <c r="C14" s="110">
        <v>2</v>
      </c>
      <c r="D14" s="108" t="s">
        <v>90</v>
      </c>
      <c r="E14" s="155"/>
      <c r="F14" s="155">
        <f>SUMPRODUCT(('7. INVESTIMENTO FROTA'!$E$186:F$186&gt;F$11-5)*(('7. INVESTIMENTO FROTA'!$E204:F204*0.2)))</f>
        <v>0</v>
      </c>
      <c r="G14" s="155">
        <f>SUMPRODUCT(('7. INVESTIMENTO FROTA'!$E$186:G$186&gt;G$11-5)*(('7. INVESTIMENTO FROTA'!$E204:G204*0.2)))</f>
        <v>0</v>
      </c>
      <c r="H14" s="155">
        <f>SUMPRODUCT(('7. INVESTIMENTO FROTA'!$E$186:H$186&gt;H$11-5)*(('7. INVESTIMENTO FROTA'!$E204:H204*0.2)))</f>
        <v>0</v>
      </c>
      <c r="I14" s="155">
        <f>SUMPRODUCT(('7. INVESTIMENTO FROTA'!$E$186:I$186&gt;I$11-5)*(('7. INVESTIMENTO FROTA'!$E204:I204*0.2)))</f>
        <v>0</v>
      </c>
      <c r="J14" s="155">
        <f>SUMPRODUCT(('7. INVESTIMENTO FROTA'!$E$186:J$186&gt;J$11-5)*(('7. INVESTIMENTO FROTA'!$E204:J204*0.2)))</f>
        <v>0</v>
      </c>
      <c r="K14" s="155">
        <f>IFERROR(SUMPRODUCT(('7. INVESTIMENTO FROTA'!F$186:K$186&gt;K$11-5)*(('7. INVESTIMENTO FROTA'!F204:K204*0.2))),0)</f>
        <v>0</v>
      </c>
      <c r="L14" s="155">
        <f>IFERROR(SUMPRODUCT(('7. INVESTIMENTO FROTA'!G$186:L$186&gt;L$11-5)*(('7. INVESTIMENTO FROTA'!G204:L204*0.2))),0)</f>
        <v>0</v>
      </c>
      <c r="M14" s="155">
        <f>IFERROR(SUMPRODUCT(('7. INVESTIMENTO FROTA'!H$186:M$186&gt;M$11-5)*(('7. INVESTIMENTO FROTA'!H204:M204*0.2))),0)</f>
        <v>0</v>
      </c>
      <c r="N14" s="155">
        <f>IFERROR(SUMPRODUCT(('7. INVESTIMENTO FROTA'!I$186:N$186&gt;N$11-5)*(('7. INVESTIMENTO FROTA'!I204:N204*0.2))),0)</f>
        <v>0</v>
      </c>
      <c r="O14" s="155">
        <f>IFERROR(SUMPRODUCT(('7. INVESTIMENTO FROTA'!J$186:O$186&gt;O$11-5)*(('7. INVESTIMENTO FROTA'!J204:O204*0.2))),0)</f>
        <v>0</v>
      </c>
      <c r="P14" s="155">
        <f>IFERROR(SUMPRODUCT(('7. INVESTIMENTO FROTA'!K$186:P$186&gt;P$11-5)*(('7. INVESTIMENTO FROTA'!K204:P204*0.2))),0)</f>
        <v>0</v>
      </c>
      <c r="Q14" s="155">
        <f>IFERROR(SUMPRODUCT(('7. INVESTIMENTO FROTA'!L$186:Q$186&gt;Q$11-5)*(('7. INVESTIMENTO FROTA'!L204:Q204*0.2))),0)</f>
        <v>0</v>
      </c>
      <c r="R14" s="155">
        <f>IFERROR(SUMPRODUCT(('7. INVESTIMENTO FROTA'!M$186:R$186&gt;R$11-5)*(('7. INVESTIMENTO FROTA'!M204:R204*0.2))),0)</f>
        <v>0</v>
      </c>
      <c r="S14" s="155">
        <f>IFERROR(SUMPRODUCT(('7. INVESTIMENTO FROTA'!N$186:S$186&gt;S$11-5)*(('7. INVESTIMENTO FROTA'!N204:S204*0.2))),0)</f>
        <v>0</v>
      </c>
      <c r="T14" s="156">
        <f>IFERROR(SUMPRODUCT(('7. INVESTIMENTO FROTA'!O$186:T$186&gt;T$11-5)*(('7. INVESTIMENTO FROTA'!O204:T204*0.2))),0)</f>
        <v>0</v>
      </c>
    </row>
    <row r="15" spans="1:20">
      <c r="C15" s="110">
        <v>3</v>
      </c>
      <c r="D15" s="108" t="s">
        <v>91</v>
      </c>
      <c r="E15" s="155"/>
      <c r="F15" s="155">
        <f>SUMPRODUCT(('7. INVESTIMENTO FROTA'!$E$186:F$186&gt;F$11-5)*(('7. INVESTIMENTO FROTA'!$E205:F205*0.2)))</f>
        <v>0</v>
      </c>
      <c r="G15" s="155">
        <f>SUMPRODUCT(('7. INVESTIMENTO FROTA'!$E$186:G$186&gt;G$11-5)*(('7. INVESTIMENTO FROTA'!$E205:G205*0.2)))</f>
        <v>0</v>
      </c>
      <c r="H15" s="155">
        <f>SUMPRODUCT(('7. INVESTIMENTO FROTA'!$E$186:H$186&gt;H$11-5)*(('7. INVESTIMENTO FROTA'!$E205:H205*0.2)))</f>
        <v>0</v>
      </c>
      <c r="I15" s="155">
        <f>SUMPRODUCT(('7. INVESTIMENTO FROTA'!$E$186:I$186&gt;I$11-5)*(('7. INVESTIMENTO FROTA'!$E205:I205*0.2)))</f>
        <v>0</v>
      </c>
      <c r="J15" s="155">
        <f>SUMPRODUCT(('7. INVESTIMENTO FROTA'!$E$186:J$186&gt;J$11-5)*(('7. INVESTIMENTO FROTA'!$E205:J205*0.2)))</f>
        <v>0</v>
      </c>
      <c r="K15" s="155">
        <f>IFERROR(SUMPRODUCT(('7. INVESTIMENTO FROTA'!F$186:K$186&gt;K$11-5)*(('7. INVESTIMENTO FROTA'!F205:K205*0.2))),0)</f>
        <v>0</v>
      </c>
      <c r="L15" s="155">
        <f>IFERROR(SUMPRODUCT(('7. INVESTIMENTO FROTA'!G$186:L$186&gt;L$11-5)*(('7. INVESTIMENTO FROTA'!G205:L205*0.2))),0)</f>
        <v>0</v>
      </c>
      <c r="M15" s="155">
        <f>IFERROR(SUMPRODUCT(('7. INVESTIMENTO FROTA'!H$186:M$186&gt;M$11-5)*(('7. INVESTIMENTO FROTA'!H205:M205*0.2))),0)</f>
        <v>0</v>
      </c>
      <c r="N15" s="155">
        <f>IFERROR(SUMPRODUCT(('7. INVESTIMENTO FROTA'!I$186:N$186&gt;N$11-5)*(('7. INVESTIMENTO FROTA'!I205:N205*0.2))),0)</f>
        <v>0</v>
      </c>
      <c r="O15" s="155">
        <f>IFERROR(SUMPRODUCT(('7. INVESTIMENTO FROTA'!J$186:O$186&gt;O$11-5)*(('7. INVESTIMENTO FROTA'!J205:O205*0.2))),0)</f>
        <v>0</v>
      </c>
      <c r="P15" s="155">
        <f>IFERROR(SUMPRODUCT(('7. INVESTIMENTO FROTA'!K$186:P$186&gt;P$11-5)*(('7. INVESTIMENTO FROTA'!K205:P205*0.2))),0)</f>
        <v>0</v>
      </c>
      <c r="Q15" s="155">
        <f>IFERROR(SUMPRODUCT(('7. INVESTIMENTO FROTA'!L$186:Q$186&gt;Q$11-5)*(('7. INVESTIMENTO FROTA'!L205:Q205*0.2))),0)</f>
        <v>0</v>
      </c>
      <c r="R15" s="155">
        <f>IFERROR(SUMPRODUCT(('7. INVESTIMENTO FROTA'!M$186:R$186&gt;R$11-5)*(('7. INVESTIMENTO FROTA'!M205:R205*0.2))),0)</f>
        <v>0</v>
      </c>
      <c r="S15" s="155">
        <f>IFERROR(SUMPRODUCT(('7. INVESTIMENTO FROTA'!N$186:S$186&gt;S$11-5)*(('7. INVESTIMENTO FROTA'!N205:S205*0.2))),0)</f>
        <v>0</v>
      </c>
      <c r="T15" s="156">
        <f>IFERROR(SUMPRODUCT(('7. INVESTIMENTO FROTA'!O$186:T$186&gt;T$11-5)*(('7. INVESTIMENTO FROTA'!O205:T205*0.2))),0)</f>
        <v>0</v>
      </c>
    </row>
    <row r="16" spans="1:20">
      <c r="C16" s="110">
        <v>4</v>
      </c>
      <c r="D16" s="108" t="s">
        <v>92</v>
      </c>
      <c r="E16" s="155"/>
      <c r="F16" s="155">
        <f>SUMPRODUCT(('7. INVESTIMENTO FROTA'!$E$186:F$186&gt;F$11-5)*(('7. INVESTIMENTO FROTA'!$E206:F206*0.2)))</f>
        <v>0</v>
      </c>
      <c r="G16" s="155">
        <f>SUMPRODUCT(('7. INVESTIMENTO FROTA'!$E$186:G$186&gt;G$11-5)*(('7. INVESTIMENTO FROTA'!$E206:G206*0.2)))</f>
        <v>0</v>
      </c>
      <c r="H16" s="155">
        <f>SUMPRODUCT(('7. INVESTIMENTO FROTA'!$E$186:H$186&gt;H$11-5)*(('7. INVESTIMENTO FROTA'!$E206:H206*0.2)))</f>
        <v>0</v>
      </c>
      <c r="I16" s="155">
        <f>SUMPRODUCT(('7. INVESTIMENTO FROTA'!$E$186:I$186&gt;I$11-5)*(('7. INVESTIMENTO FROTA'!$E206:I206*0.2)))</f>
        <v>0</v>
      </c>
      <c r="J16" s="155">
        <f>SUMPRODUCT(('7. INVESTIMENTO FROTA'!$E$186:J$186&gt;J$11-5)*(('7. INVESTIMENTO FROTA'!$E206:J206*0.2)))</f>
        <v>0</v>
      </c>
      <c r="K16" s="155">
        <f>IFERROR(SUMPRODUCT(('7. INVESTIMENTO FROTA'!F$186:K$186&gt;K$11-5)*(('7. INVESTIMENTO FROTA'!F206:K206*0.2))),0)</f>
        <v>0</v>
      </c>
      <c r="L16" s="155">
        <f>IFERROR(SUMPRODUCT(('7. INVESTIMENTO FROTA'!G$186:L$186&gt;L$11-5)*(('7. INVESTIMENTO FROTA'!G206:L206*0.2))),0)</f>
        <v>0</v>
      </c>
      <c r="M16" s="155">
        <f>IFERROR(SUMPRODUCT(('7. INVESTIMENTO FROTA'!H$186:M$186&gt;M$11-5)*(('7. INVESTIMENTO FROTA'!H206:M206*0.2))),0)</f>
        <v>0</v>
      </c>
      <c r="N16" s="155">
        <f>IFERROR(SUMPRODUCT(('7. INVESTIMENTO FROTA'!I$186:N$186&gt;N$11-5)*(('7. INVESTIMENTO FROTA'!I206:N206*0.2))),0)</f>
        <v>0</v>
      </c>
      <c r="O16" s="155">
        <f>IFERROR(SUMPRODUCT(('7. INVESTIMENTO FROTA'!J$186:O$186&gt;O$11-5)*(('7. INVESTIMENTO FROTA'!J206:O206*0.2))),0)</f>
        <v>0</v>
      </c>
      <c r="P16" s="155">
        <f>IFERROR(SUMPRODUCT(('7. INVESTIMENTO FROTA'!K$186:P$186&gt;P$11-5)*(('7. INVESTIMENTO FROTA'!K206:P206*0.2))),0)</f>
        <v>0</v>
      </c>
      <c r="Q16" s="155">
        <f>IFERROR(SUMPRODUCT(('7. INVESTIMENTO FROTA'!L$186:Q$186&gt;Q$11-5)*(('7. INVESTIMENTO FROTA'!L206:Q206*0.2))),0)</f>
        <v>0</v>
      </c>
      <c r="R16" s="155">
        <f>IFERROR(SUMPRODUCT(('7. INVESTIMENTO FROTA'!M$186:R$186&gt;R$11-5)*(('7. INVESTIMENTO FROTA'!M206:R206*0.2))),0)</f>
        <v>0</v>
      </c>
      <c r="S16" s="155">
        <f>IFERROR(SUMPRODUCT(('7. INVESTIMENTO FROTA'!N$186:S$186&gt;S$11-5)*(('7. INVESTIMENTO FROTA'!N206:S206*0.2))),0)</f>
        <v>0</v>
      </c>
      <c r="T16" s="156">
        <f>IFERROR(SUMPRODUCT(('7. INVESTIMENTO FROTA'!O$186:T$186&gt;T$11-5)*(('7. INVESTIMENTO FROTA'!O206:T206*0.2))),0)</f>
        <v>0</v>
      </c>
    </row>
    <row r="17" spans="1:20">
      <c r="C17" s="110">
        <v>5</v>
      </c>
      <c r="D17" s="108" t="s">
        <v>93</v>
      </c>
      <c r="E17" s="155"/>
      <c r="F17" s="155">
        <f>SUMPRODUCT(('7. INVESTIMENTO FROTA'!$E$186:F$186&gt;F$11-5)*(('7. INVESTIMENTO FROTA'!$E207:F207*0.2)))</f>
        <v>71343.477333333329</v>
      </c>
      <c r="G17" s="155">
        <f>SUMPRODUCT(('7. INVESTIMENTO FROTA'!$E$186:G$186&gt;G$11-5)*(('7. INVESTIMENTO FROTA'!$E207:G207*0.2)))</f>
        <v>71343.477333333329</v>
      </c>
      <c r="H17" s="155">
        <f>SUMPRODUCT(('7. INVESTIMENTO FROTA'!$E$186:H$186&gt;H$11-5)*(('7. INVESTIMENTO FROTA'!$E207:H207*0.2)))</f>
        <v>71343.477333333329</v>
      </c>
      <c r="I17" s="155">
        <f>SUMPRODUCT(('7. INVESTIMENTO FROTA'!$E$186:I$186&gt;I$11-5)*(('7. INVESTIMENTO FROTA'!$E207:I207*0.2)))</f>
        <v>71343.477333333329</v>
      </c>
      <c r="J17" s="155">
        <f>SUMPRODUCT(('7. INVESTIMENTO FROTA'!$E$186:J$186&gt;J$11-5)*(('7. INVESTIMENTO FROTA'!$E207:J207*0.2)))</f>
        <v>71343.477333333329</v>
      </c>
      <c r="K17" s="155">
        <f>IFERROR(SUMPRODUCT(('7. INVESTIMENTO FROTA'!F$186:K$186&gt;K$11-5)*(('7. INVESTIMENTO FROTA'!F207:K207*0.2))),0)</f>
        <v>0</v>
      </c>
      <c r="L17" s="155">
        <f>IFERROR(SUMPRODUCT(('7. INVESTIMENTO FROTA'!G$186:L$186&gt;L$11-5)*(('7. INVESTIMENTO FROTA'!G207:L207*0.2))),0)</f>
        <v>0</v>
      </c>
      <c r="M17" s="155">
        <f>IFERROR(SUMPRODUCT(('7. INVESTIMENTO FROTA'!H$186:M$186&gt;M$11-5)*(('7. INVESTIMENTO FROTA'!H207:M207*0.2))),0)</f>
        <v>0</v>
      </c>
      <c r="N17" s="155">
        <f>IFERROR(SUMPRODUCT(('7. INVESTIMENTO FROTA'!I$186:N$186&gt;N$11-5)*(('7. INVESTIMENTO FROTA'!I207:N207*0.2))),0)</f>
        <v>0</v>
      </c>
      <c r="O17" s="155">
        <f>IFERROR(SUMPRODUCT(('7. INVESTIMENTO FROTA'!J$186:O$186&gt;O$11-5)*(('7. INVESTIMENTO FROTA'!J207:O207*0.2))),0)</f>
        <v>0</v>
      </c>
      <c r="P17" s="155">
        <f>IFERROR(SUMPRODUCT(('7. INVESTIMENTO FROTA'!K$186:P$186&gt;P$11-5)*(('7. INVESTIMENTO FROTA'!K207:P207*0.2))),0)</f>
        <v>0</v>
      </c>
      <c r="Q17" s="155">
        <f>IFERROR(SUMPRODUCT(('7. INVESTIMENTO FROTA'!L$186:Q$186&gt;Q$11-5)*(('7. INVESTIMENTO FROTA'!L207:Q207*0.2))),0)</f>
        <v>0</v>
      </c>
      <c r="R17" s="155">
        <f>IFERROR(SUMPRODUCT(('7. INVESTIMENTO FROTA'!M$186:R$186&gt;R$11-5)*(('7. INVESTIMENTO FROTA'!M207:R207*0.2))),0)</f>
        <v>0</v>
      </c>
      <c r="S17" s="155">
        <f>IFERROR(SUMPRODUCT(('7. INVESTIMENTO FROTA'!N$186:S$186&gt;S$11-5)*(('7. INVESTIMENTO FROTA'!N207:S207*0.2))),0)</f>
        <v>0</v>
      </c>
      <c r="T17" s="156">
        <f>IFERROR(SUMPRODUCT(('7. INVESTIMENTO FROTA'!O$186:T$186&gt;T$11-5)*(('7. INVESTIMENTO FROTA'!O207:T207*0.2))),0)</f>
        <v>0</v>
      </c>
    </row>
    <row r="18" spans="1:20">
      <c r="C18" s="110">
        <v>6</v>
      </c>
      <c r="D18" s="108" t="s">
        <v>94</v>
      </c>
      <c r="E18" s="155"/>
      <c r="F18" s="155">
        <f>SUMPRODUCT(('7. INVESTIMENTO FROTA'!$E$186:F$186&gt;F$11-5)*(('7. INVESTIMENTO FROTA'!$E208:F208*0.2)))</f>
        <v>0</v>
      </c>
      <c r="G18" s="155">
        <f>SUMPRODUCT(('7. INVESTIMENTO FROTA'!$E$186:G$186&gt;G$11-5)*(('7. INVESTIMENTO FROTA'!$E208:G208*0.2)))</f>
        <v>0</v>
      </c>
      <c r="H18" s="155">
        <f>SUMPRODUCT(('7. INVESTIMENTO FROTA'!$E$186:H$186&gt;H$11-5)*(('7. INVESTIMENTO FROTA'!$E208:H208*0.2)))</f>
        <v>0</v>
      </c>
      <c r="I18" s="155">
        <f>SUMPRODUCT(('7. INVESTIMENTO FROTA'!$E$186:I$186&gt;I$11-5)*(('7. INVESTIMENTO FROTA'!$E208:I208*0.2)))</f>
        <v>0</v>
      </c>
      <c r="J18" s="155">
        <f>SUMPRODUCT(('7. INVESTIMENTO FROTA'!$E$186:J$186&gt;J$11-5)*(('7. INVESTIMENTO FROTA'!$E208:J208*0.2)))</f>
        <v>0</v>
      </c>
      <c r="K18" s="155">
        <f>IFERROR(SUMPRODUCT(('7. INVESTIMENTO FROTA'!F$186:K$186&gt;K$11-5)*(('7. INVESTIMENTO FROTA'!F208:K208*0.2))),0)</f>
        <v>0</v>
      </c>
      <c r="L18" s="155">
        <f>IFERROR(SUMPRODUCT(('7. INVESTIMENTO FROTA'!G$186:L$186&gt;L$11-5)*(('7. INVESTIMENTO FROTA'!G208:L208*0.2))),0)</f>
        <v>0</v>
      </c>
      <c r="M18" s="155">
        <f>IFERROR(SUMPRODUCT(('7. INVESTIMENTO FROTA'!H$186:M$186&gt;M$11-5)*(('7. INVESTIMENTO FROTA'!H208:M208*0.2))),0)</f>
        <v>0</v>
      </c>
      <c r="N18" s="155">
        <f>IFERROR(SUMPRODUCT(('7. INVESTIMENTO FROTA'!I$186:N$186&gt;N$11-5)*(('7. INVESTIMENTO FROTA'!I208:N208*0.2))),0)</f>
        <v>0</v>
      </c>
      <c r="O18" s="155">
        <f>IFERROR(SUMPRODUCT(('7. INVESTIMENTO FROTA'!J$186:O$186&gt;O$11-5)*(('7. INVESTIMENTO FROTA'!J208:O208*0.2))),0)</f>
        <v>0</v>
      </c>
      <c r="P18" s="155">
        <f>IFERROR(SUMPRODUCT(('7. INVESTIMENTO FROTA'!K$186:P$186&gt;P$11-5)*(('7. INVESTIMENTO FROTA'!K208:P208*0.2))),0)</f>
        <v>0</v>
      </c>
      <c r="Q18" s="155">
        <f>IFERROR(SUMPRODUCT(('7. INVESTIMENTO FROTA'!L$186:Q$186&gt;Q$11-5)*(('7. INVESTIMENTO FROTA'!L208:Q208*0.2))),0)</f>
        <v>0</v>
      </c>
      <c r="R18" s="155">
        <f>IFERROR(SUMPRODUCT(('7. INVESTIMENTO FROTA'!M$186:R$186&gt;R$11-5)*(('7. INVESTIMENTO FROTA'!M208:R208*0.2))),0)</f>
        <v>0</v>
      </c>
      <c r="S18" s="155">
        <f>IFERROR(SUMPRODUCT(('7. INVESTIMENTO FROTA'!N$186:S$186&gt;S$11-5)*(('7. INVESTIMENTO FROTA'!N208:S208*0.2))),0)</f>
        <v>0</v>
      </c>
      <c r="T18" s="156">
        <f>IFERROR(SUMPRODUCT(('7. INVESTIMENTO FROTA'!O$186:T$186&gt;T$11-5)*(('7. INVESTIMENTO FROTA'!O208:T208*0.2))),0)</f>
        <v>0</v>
      </c>
    </row>
    <row r="19" spans="1:20">
      <c r="C19" s="110">
        <v>7</v>
      </c>
      <c r="D19" s="108" t="s">
        <v>95</v>
      </c>
      <c r="E19" s="155"/>
      <c r="F19" s="155">
        <f>SUMPRODUCT(('7. INVESTIMENTO FROTA'!$E$186:F$186&gt;F$11-5)*(('7. INVESTIMENTO FROTA'!$E209:F209*0.2)))</f>
        <v>0</v>
      </c>
      <c r="G19" s="155">
        <f>SUMPRODUCT(('7. INVESTIMENTO FROTA'!$E$186:G$186&gt;G$11-5)*(('7. INVESTIMENTO FROTA'!$E209:G209*0.2)))</f>
        <v>0</v>
      </c>
      <c r="H19" s="155">
        <f>SUMPRODUCT(('7. INVESTIMENTO FROTA'!$E$186:H$186&gt;H$11-5)*(('7. INVESTIMENTO FROTA'!$E209:H209*0.2)))</f>
        <v>0</v>
      </c>
      <c r="I19" s="155">
        <f>SUMPRODUCT(('7. INVESTIMENTO FROTA'!$E$186:I$186&gt;I$11-5)*(('7. INVESTIMENTO FROTA'!$E209:I209*0.2)))</f>
        <v>0</v>
      </c>
      <c r="J19" s="155">
        <f>SUMPRODUCT(('7. INVESTIMENTO FROTA'!$E$186:J$186&gt;J$11-5)*(('7. INVESTIMENTO FROTA'!$E209:J209*0.2)))</f>
        <v>0</v>
      </c>
      <c r="K19" s="155">
        <f>IFERROR(SUMPRODUCT(('7. INVESTIMENTO FROTA'!F$186:K$186&gt;K$11-5)*(('7. INVESTIMENTO FROTA'!F209:K209*0.2))),0)</f>
        <v>0</v>
      </c>
      <c r="L19" s="155">
        <f>IFERROR(SUMPRODUCT(('7. INVESTIMENTO FROTA'!G$186:L$186&gt;L$11-5)*(('7. INVESTIMENTO FROTA'!G209:L209*0.2))),0)</f>
        <v>0</v>
      </c>
      <c r="M19" s="155">
        <f>IFERROR(SUMPRODUCT(('7. INVESTIMENTO FROTA'!H$186:M$186&gt;M$11-5)*(('7. INVESTIMENTO FROTA'!H209:M209*0.2))),0)</f>
        <v>0</v>
      </c>
      <c r="N19" s="155">
        <f>IFERROR(SUMPRODUCT(('7. INVESTIMENTO FROTA'!I$186:N$186&gt;N$11-5)*(('7. INVESTIMENTO FROTA'!I209:N209*0.2))),0)</f>
        <v>0</v>
      </c>
      <c r="O19" s="155">
        <f>IFERROR(SUMPRODUCT(('7. INVESTIMENTO FROTA'!J$186:O$186&gt;O$11-5)*(('7. INVESTIMENTO FROTA'!J209:O209*0.2))),0)</f>
        <v>0</v>
      </c>
      <c r="P19" s="155">
        <f>IFERROR(SUMPRODUCT(('7. INVESTIMENTO FROTA'!K$186:P$186&gt;P$11-5)*(('7. INVESTIMENTO FROTA'!K209:P209*0.2))),0)</f>
        <v>0</v>
      </c>
      <c r="Q19" s="155">
        <f>IFERROR(SUMPRODUCT(('7. INVESTIMENTO FROTA'!L$186:Q$186&gt;Q$11-5)*(('7. INVESTIMENTO FROTA'!L209:Q209*0.2))),0)</f>
        <v>0</v>
      </c>
      <c r="R19" s="155">
        <f>IFERROR(SUMPRODUCT(('7. INVESTIMENTO FROTA'!M$186:R$186&gt;R$11-5)*(('7. INVESTIMENTO FROTA'!M209:R209*0.2))),0)</f>
        <v>0</v>
      </c>
      <c r="S19" s="155">
        <f>IFERROR(SUMPRODUCT(('7. INVESTIMENTO FROTA'!N$186:S$186&gt;S$11-5)*(('7. INVESTIMENTO FROTA'!N209:S209*0.2))),0)</f>
        <v>0</v>
      </c>
      <c r="T19" s="156">
        <f>IFERROR(SUMPRODUCT(('7. INVESTIMENTO FROTA'!O$186:T$186&gt;T$11-5)*(('7. INVESTIMENTO FROTA'!O209:T209*0.2))),0)</f>
        <v>0</v>
      </c>
    </row>
    <row r="20" spans="1:20">
      <c r="C20" s="110">
        <v>8</v>
      </c>
      <c r="D20" s="108" t="s">
        <v>96</v>
      </c>
      <c r="E20" s="155"/>
      <c r="F20" s="155">
        <f>SUMPRODUCT(('7. INVESTIMENTO FROTA'!$E$186:F$186&gt;F$11-5)*(('7. INVESTIMENTO FROTA'!$E210:F210*0.2)))</f>
        <v>0</v>
      </c>
      <c r="G20" s="155">
        <f>SUMPRODUCT(('7. INVESTIMENTO FROTA'!$E$186:G$186&gt;G$11-5)*(('7. INVESTIMENTO FROTA'!$E210:G210*0.2)))</f>
        <v>0</v>
      </c>
      <c r="H20" s="155">
        <f>SUMPRODUCT(('7. INVESTIMENTO FROTA'!$E$186:H$186&gt;H$11-5)*(('7. INVESTIMENTO FROTA'!$E210:H210*0.2)))</f>
        <v>0</v>
      </c>
      <c r="I20" s="155">
        <f>SUMPRODUCT(('7. INVESTIMENTO FROTA'!$E$186:I$186&gt;I$11-5)*(('7. INVESTIMENTO FROTA'!$E210:I210*0.2)))</f>
        <v>0</v>
      </c>
      <c r="J20" s="155">
        <f>SUMPRODUCT(('7. INVESTIMENTO FROTA'!$E$186:J$186&gt;J$11-5)*(('7. INVESTIMENTO FROTA'!$E210:J210*0.2)))</f>
        <v>0</v>
      </c>
      <c r="K20" s="155">
        <f>IFERROR(SUMPRODUCT(('7. INVESTIMENTO FROTA'!F$186:K$186&gt;K$11-5)*(('7. INVESTIMENTO FROTA'!F210:K210*0.2))),0)</f>
        <v>0</v>
      </c>
      <c r="L20" s="155">
        <f>IFERROR(SUMPRODUCT(('7. INVESTIMENTO FROTA'!G$186:L$186&gt;L$11-5)*(('7. INVESTIMENTO FROTA'!G210:L210*0.2))),0)</f>
        <v>0</v>
      </c>
      <c r="M20" s="155">
        <f>IFERROR(SUMPRODUCT(('7. INVESTIMENTO FROTA'!H$186:M$186&gt;M$11-5)*(('7. INVESTIMENTO FROTA'!H210:M210*0.2))),0)</f>
        <v>0</v>
      </c>
      <c r="N20" s="155">
        <f>IFERROR(SUMPRODUCT(('7. INVESTIMENTO FROTA'!I$186:N$186&gt;N$11-5)*(('7. INVESTIMENTO FROTA'!I210:N210*0.2))),0)</f>
        <v>0</v>
      </c>
      <c r="O20" s="155">
        <f>IFERROR(SUMPRODUCT(('7. INVESTIMENTO FROTA'!J$186:O$186&gt;O$11-5)*(('7. INVESTIMENTO FROTA'!J210:O210*0.2))),0)</f>
        <v>0</v>
      </c>
      <c r="P20" s="155">
        <f>IFERROR(SUMPRODUCT(('7. INVESTIMENTO FROTA'!K$186:P$186&gt;P$11-5)*(('7. INVESTIMENTO FROTA'!K210:P210*0.2))),0)</f>
        <v>0</v>
      </c>
      <c r="Q20" s="155">
        <f>IFERROR(SUMPRODUCT(('7. INVESTIMENTO FROTA'!L$186:Q$186&gt;Q$11-5)*(('7. INVESTIMENTO FROTA'!L210:Q210*0.2))),0)</f>
        <v>0</v>
      </c>
      <c r="R20" s="155">
        <f>IFERROR(SUMPRODUCT(('7. INVESTIMENTO FROTA'!M$186:R$186&gt;R$11-5)*(('7. INVESTIMENTO FROTA'!M210:R210*0.2))),0)</f>
        <v>0</v>
      </c>
      <c r="S20" s="155">
        <f>IFERROR(SUMPRODUCT(('7. INVESTIMENTO FROTA'!N$186:S$186&gt;S$11-5)*(('7. INVESTIMENTO FROTA'!N210:S210*0.2))),0)</f>
        <v>0</v>
      </c>
      <c r="T20" s="156">
        <f>IFERROR(SUMPRODUCT(('7. INVESTIMENTO FROTA'!O$186:T$186&gt;T$11-5)*(('7. INVESTIMENTO FROTA'!O210:T210*0.2))),0)</f>
        <v>0</v>
      </c>
    </row>
    <row r="21" spans="1:20">
      <c r="C21" s="110">
        <v>9</v>
      </c>
      <c r="D21" s="108" t="s">
        <v>97</v>
      </c>
      <c r="E21" s="155"/>
      <c r="F21" s="155">
        <f>SUMPRODUCT(('7. INVESTIMENTO FROTA'!$E$186:F$186&gt;F$11-5)*(('7. INVESTIMENTO FROTA'!$E211:F211*0.2)))</f>
        <v>0</v>
      </c>
      <c r="G21" s="155">
        <f>SUMPRODUCT(('7. INVESTIMENTO FROTA'!$E$186:G$186&gt;G$11-5)*(('7. INVESTIMENTO FROTA'!$E211:G211*0.2)))</f>
        <v>0</v>
      </c>
      <c r="H21" s="155">
        <f>SUMPRODUCT(('7. INVESTIMENTO FROTA'!$E$186:H$186&gt;H$11-5)*(('7. INVESTIMENTO FROTA'!$E211:H211*0.2)))</f>
        <v>0</v>
      </c>
      <c r="I21" s="155">
        <f>SUMPRODUCT(('7. INVESTIMENTO FROTA'!$E$186:I$186&gt;I$11-5)*(('7. INVESTIMENTO FROTA'!$E211:I211*0.2)))</f>
        <v>0</v>
      </c>
      <c r="J21" s="155">
        <f>SUMPRODUCT(('7. INVESTIMENTO FROTA'!$E$186:J$186&gt;J$11-5)*(('7. INVESTIMENTO FROTA'!$E211:J211*0.2)))</f>
        <v>0</v>
      </c>
      <c r="K21" s="155">
        <f>IFERROR(SUMPRODUCT(('7. INVESTIMENTO FROTA'!F$186:K$186&gt;K$11-5)*(('7. INVESTIMENTO FROTA'!F211:K211*0.2))),0)</f>
        <v>0</v>
      </c>
      <c r="L21" s="155">
        <f>IFERROR(SUMPRODUCT(('7. INVESTIMENTO FROTA'!G$186:L$186&gt;L$11-5)*(('7. INVESTIMENTO FROTA'!G211:L211*0.2))),0)</f>
        <v>0</v>
      </c>
      <c r="M21" s="155">
        <f>IFERROR(SUMPRODUCT(('7. INVESTIMENTO FROTA'!H$186:M$186&gt;M$11-5)*(('7. INVESTIMENTO FROTA'!H211:M211*0.2))),0)</f>
        <v>0</v>
      </c>
      <c r="N21" s="155">
        <f>IFERROR(SUMPRODUCT(('7. INVESTIMENTO FROTA'!I$186:N$186&gt;N$11-5)*(('7. INVESTIMENTO FROTA'!I211:N211*0.2))),0)</f>
        <v>0</v>
      </c>
      <c r="O21" s="155">
        <f>IFERROR(SUMPRODUCT(('7. INVESTIMENTO FROTA'!J$186:O$186&gt;O$11-5)*(('7. INVESTIMENTO FROTA'!J211:O211*0.2))),0)</f>
        <v>0</v>
      </c>
      <c r="P21" s="155">
        <f>IFERROR(SUMPRODUCT(('7. INVESTIMENTO FROTA'!K$186:P$186&gt;P$11-5)*(('7. INVESTIMENTO FROTA'!K211:P211*0.2))),0)</f>
        <v>0</v>
      </c>
      <c r="Q21" s="155">
        <f>IFERROR(SUMPRODUCT(('7. INVESTIMENTO FROTA'!L$186:Q$186&gt;Q$11-5)*(('7. INVESTIMENTO FROTA'!L211:Q211*0.2))),0)</f>
        <v>0</v>
      </c>
      <c r="R21" s="155">
        <f>IFERROR(SUMPRODUCT(('7. INVESTIMENTO FROTA'!M$186:R$186&gt;R$11-5)*(('7. INVESTIMENTO FROTA'!M211:R211*0.2))),0)</f>
        <v>0</v>
      </c>
      <c r="S21" s="155">
        <f>IFERROR(SUMPRODUCT(('7. INVESTIMENTO FROTA'!N$186:S$186&gt;S$11-5)*(('7. INVESTIMENTO FROTA'!N211:S211*0.2))),0)</f>
        <v>0</v>
      </c>
      <c r="T21" s="156">
        <f>IFERROR(SUMPRODUCT(('7. INVESTIMENTO FROTA'!O$186:T$186&gt;T$11-5)*(('7. INVESTIMENTO FROTA'!O211:T211*0.2))),0)</f>
        <v>0</v>
      </c>
    </row>
    <row r="22" spans="1:20">
      <c r="C22" s="110">
        <v>10</v>
      </c>
      <c r="D22" s="109" t="s">
        <v>98</v>
      </c>
      <c r="E22" s="155"/>
      <c r="F22" s="155">
        <f>SUMPRODUCT(('7. INVESTIMENTO FROTA'!$E$186:F$186&gt;F$11-5)*(('7. INVESTIMENTO FROTA'!$E212:F212*0.2)))</f>
        <v>0</v>
      </c>
      <c r="G22" s="155">
        <f>SUMPRODUCT(('7. INVESTIMENTO FROTA'!$E$186:G$186&gt;G$11-5)*(('7. INVESTIMENTO FROTA'!$E212:G212*0.2)))</f>
        <v>0</v>
      </c>
      <c r="H22" s="155">
        <f>SUMPRODUCT(('7. INVESTIMENTO FROTA'!$E$186:H$186&gt;H$11-5)*(('7. INVESTIMENTO FROTA'!$E212:H212*0.2)))</f>
        <v>0</v>
      </c>
      <c r="I22" s="155">
        <f>SUMPRODUCT(('7. INVESTIMENTO FROTA'!$E$186:I$186&gt;I$11-5)*(('7. INVESTIMENTO FROTA'!$E212:I212*0.2)))</f>
        <v>0</v>
      </c>
      <c r="J22" s="155">
        <f>SUMPRODUCT(('7. INVESTIMENTO FROTA'!$E$186:J$186&gt;J$11-5)*(('7. INVESTIMENTO FROTA'!$E212:J212*0.2)))</f>
        <v>0</v>
      </c>
      <c r="K22" s="155">
        <f>IFERROR(SUMPRODUCT(('7. INVESTIMENTO FROTA'!F$186:K$186&gt;K$11-5)*(('7. INVESTIMENTO FROTA'!F212:K212*0.2))),0)</f>
        <v>0</v>
      </c>
      <c r="L22" s="155">
        <f>IFERROR(SUMPRODUCT(('7. INVESTIMENTO FROTA'!G$186:L$186&gt;L$11-5)*(('7. INVESTIMENTO FROTA'!G212:L212*0.2))),0)</f>
        <v>0</v>
      </c>
      <c r="M22" s="155">
        <f>IFERROR(SUMPRODUCT(('7. INVESTIMENTO FROTA'!H$186:M$186&gt;M$11-5)*(('7. INVESTIMENTO FROTA'!H212:M212*0.2))),0)</f>
        <v>0</v>
      </c>
      <c r="N22" s="155">
        <f>IFERROR(SUMPRODUCT(('7. INVESTIMENTO FROTA'!I$186:N$186&gt;N$11-5)*(('7. INVESTIMENTO FROTA'!I212:N212*0.2))),0)</f>
        <v>0</v>
      </c>
      <c r="O22" s="155">
        <f>IFERROR(SUMPRODUCT(('7. INVESTIMENTO FROTA'!J$186:O$186&gt;O$11-5)*(('7. INVESTIMENTO FROTA'!J212:O212*0.2))),0)</f>
        <v>0</v>
      </c>
      <c r="P22" s="155">
        <f>IFERROR(SUMPRODUCT(('7. INVESTIMENTO FROTA'!K$186:P$186&gt;P$11-5)*(('7. INVESTIMENTO FROTA'!K212:P212*0.2))),0)</f>
        <v>0</v>
      </c>
      <c r="Q22" s="155">
        <f>IFERROR(SUMPRODUCT(('7. INVESTIMENTO FROTA'!L$186:Q$186&gt;Q$11-5)*(('7. INVESTIMENTO FROTA'!L212:Q212*0.2))),0)</f>
        <v>0</v>
      </c>
      <c r="R22" s="155">
        <f>IFERROR(SUMPRODUCT(('7. INVESTIMENTO FROTA'!M$186:R$186&gt;R$11-5)*(('7. INVESTIMENTO FROTA'!M212:R212*0.2))),0)</f>
        <v>0</v>
      </c>
      <c r="S22" s="155">
        <f>IFERROR(SUMPRODUCT(('7. INVESTIMENTO FROTA'!N$186:S$186&gt;S$11-5)*(('7. INVESTIMENTO FROTA'!N212:S212*0.2))),0)</f>
        <v>0</v>
      </c>
      <c r="T22" s="156">
        <f>IFERROR(SUMPRODUCT(('7. INVESTIMENTO FROTA'!O$186:T$186&gt;T$11-5)*(('7. INVESTIMENTO FROTA'!O212:T212*0.2))),0)</f>
        <v>0</v>
      </c>
    </row>
    <row r="23" spans="1:20">
      <c r="C23" s="111" t="s">
        <v>88</v>
      </c>
      <c r="D23" s="112"/>
      <c r="E23" s="157">
        <f t="shared" ref="E23:T23" si="1">SUM(E12:E22)</f>
        <v>0</v>
      </c>
      <c r="F23" s="157">
        <f t="shared" si="1"/>
        <v>71343.477333333329</v>
      </c>
      <c r="G23" s="157">
        <f t="shared" si="1"/>
        <v>71343.477333333329</v>
      </c>
      <c r="H23" s="157">
        <f t="shared" si="1"/>
        <v>71343.477333333329</v>
      </c>
      <c r="I23" s="157">
        <f t="shared" si="1"/>
        <v>71343.477333333329</v>
      </c>
      <c r="J23" s="157">
        <f t="shared" si="1"/>
        <v>315949.68533333333</v>
      </c>
      <c r="K23" s="157">
        <f t="shared" si="1"/>
        <v>244606.20800000001</v>
      </c>
      <c r="L23" s="157">
        <f t="shared" si="1"/>
        <v>244606.20800000001</v>
      </c>
      <c r="M23" s="157">
        <f t="shared" si="1"/>
        <v>244606.20800000001</v>
      </c>
      <c r="N23" s="157">
        <f t="shared" si="1"/>
        <v>244606.20800000001</v>
      </c>
      <c r="O23" s="157">
        <f t="shared" si="1"/>
        <v>0</v>
      </c>
      <c r="P23" s="157">
        <f t="shared" si="1"/>
        <v>0</v>
      </c>
      <c r="Q23" s="157">
        <f t="shared" si="1"/>
        <v>0</v>
      </c>
      <c r="R23" s="157">
        <f t="shared" si="1"/>
        <v>244606.20800000001</v>
      </c>
      <c r="S23" s="157">
        <f t="shared" si="1"/>
        <v>244606.20800000001</v>
      </c>
      <c r="T23" s="158">
        <f t="shared" si="1"/>
        <v>244606.20800000001</v>
      </c>
    </row>
    <row r="25" spans="1:20" ht="15.75">
      <c r="A25" s="2">
        <v>2</v>
      </c>
      <c r="C25" s="718" t="str">
        <f>"8.2 - "&amp;VLOOKUP(A25,TIPOLOGIA!$D$10:$E$12,2,0)</f>
        <v>8.2 - CONVENCIONAL</v>
      </c>
      <c r="D25" s="718"/>
      <c r="E25" s="718"/>
      <c r="F25" s="718"/>
    </row>
    <row r="26" spans="1:20">
      <c r="C26" s="309"/>
      <c r="D26" s="309"/>
      <c r="E26" s="309"/>
      <c r="F26" s="309"/>
    </row>
    <row r="27" spans="1:20" ht="18" customHeight="1">
      <c r="C27" s="705" t="s">
        <v>111</v>
      </c>
      <c r="D27" s="719"/>
      <c r="E27" s="105" t="s">
        <v>99</v>
      </c>
      <c r="F27" s="106">
        <v>1</v>
      </c>
      <c r="G27" s="106">
        <f t="shared" ref="G27:T27" si="2">+F27+1</f>
        <v>2</v>
      </c>
      <c r="H27" s="106">
        <f t="shared" si="2"/>
        <v>3</v>
      </c>
      <c r="I27" s="106">
        <f t="shared" si="2"/>
        <v>4</v>
      </c>
      <c r="J27" s="106">
        <f t="shared" si="2"/>
        <v>5</v>
      </c>
      <c r="K27" s="106">
        <f t="shared" si="2"/>
        <v>6</v>
      </c>
      <c r="L27" s="106">
        <f t="shared" si="2"/>
        <v>7</v>
      </c>
      <c r="M27" s="106">
        <f t="shared" si="2"/>
        <v>8</v>
      </c>
      <c r="N27" s="106">
        <f t="shared" si="2"/>
        <v>9</v>
      </c>
      <c r="O27" s="106">
        <f t="shared" si="2"/>
        <v>10</v>
      </c>
      <c r="P27" s="106">
        <f t="shared" si="2"/>
        <v>11</v>
      </c>
      <c r="Q27" s="106">
        <f t="shared" si="2"/>
        <v>12</v>
      </c>
      <c r="R27" s="106">
        <f t="shared" si="2"/>
        <v>13</v>
      </c>
      <c r="S27" s="106">
        <f t="shared" si="2"/>
        <v>14</v>
      </c>
      <c r="T27" s="107">
        <f t="shared" si="2"/>
        <v>15</v>
      </c>
    </row>
    <row r="28" spans="1:20">
      <c r="C28" s="110">
        <v>0</v>
      </c>
      <c r="D28" s="108" t="s">
        <v>87</v>
      </c>
      <c r="E28" s="155"/>
      <c r="F28" s="155">
        <f>SUMPRODUCT(('7. INVESTIMENTO FROTA'!$E$186:F$186&gt;'8. DEPRECIAÇÃO DE FROTA'!F$11-5)*(('7. INVESTIMENTO FROTA'!$E232:F232*0.2)))</f>
        <v>0</v>
      </c>
      <c r="G28" s="155">
        <f>SUMPRODUCT(('7. INVESTIMENTO FROTA'!$E$186:G$186&gt;'8. DEPRECIAÇÃO DE FROTA'!G$11-5)*(('7. INVESTIMENTO FROTA'!$E232:G232*0.2)))</f>
        <v>225001.86</v>
      </c>
      <c r="H28" s="155">
        <f>SUMPRODUCT(('7. INVESTIMENTO FROTA'!$E$186:H$186&gt;'8. DEPRECIAÇÃO DE FROTA'!H$11-5)*(('7. INVESTIMENTO FROTA'!$E232:H232*0.2)))</f>
        <v>375003.1</v>
      </c>
      <c r="I28" s="155">
        <f>SUMPRODUCT(('7. INVESTIMENTO FROTA'!$E$186:I$186&gt;'8. DEPRECIAÇÃO DE FROTA'!I$11-5)*(('7. INVESTIMENTO FROTA'!$E232:I232*0.2)))</f>
        <v>525004.34</v>
      </c>
      <c r="J28" s="155">
        <f>SUMPRODUCT(('7. INVESTIMENTO FROTA'!$E$186:J$186&gt;'8. DEPRECIAÇÃO DE FROTA'!J$11-5)*(('7. INVESTIMENTO FROTA'!$E232:J232*0.2)))</f>
        <v>750006.2</v>
      </c>
      <c r="K28" s="155">
        <f>IFERROR(SUMPRODUCT(('7. INVESTIMENTO FROTA'!F$186:K$186&gt;'8. DEPRECIAÇÃO DE FROTA'!K$11-5)*(('7. INVESTIMENTO FROTA'!F232:K232*0.2))),0)</f>
        <v>750006.2</v>
      </c>
      <c r="L28" s="155">
        <f>IFERROR(SUMPRODUCT(('7. INVESTIMENTO FROTA'!G$186:L$186&gt;'8. DEPRECIAÇÃO DE FROTA'!L$11-5)*(('7. INVESTIMENTO FROTA'!G232:L232*0.2))),0)</f>
        <v>525004.34</v>
      </c>
      <c r="M28" s="155">
        <f>IFERROR(SUMPRODUCT(('7. INVESTIMENTO FROTA'!H$186:M$186&gt;'8. DEPRECIAÇÃO DE FROTA'!M$11-5)*(('7. INVESTIMENTO FROTA'!H232:M232*0.2))),0)</f>
        <v>375003.1</v>
      </c>
      <c r="N28" s="155">
        <f>IFERROR(SUMPRODUCT(('7. INVESTIMENTO FROTA'!I$186:N$186&gt;'8. DEPRECIAÇÃO DE FROTA'!N$11-5)*(('7. INVESTIMENTO FROTA'!I232:N232*0.2))),0)</f>
        <v>300002.48</v>
      </c>
      <c r="O28" s="155">
        <f>IFERROR(SUMPRODUCT(('7. INVESTIMENTO FROTA'!J$186:O$186&gt;'8. DEPRECIAÇÃO DE FROTA'!O$11-5)*(('7. INVESTIMENTO FROTA'!J232:O232*0.2))),0)</f>
        <v>150001.24</v>
      </c>
      <c r="P28" s="155">
        <f>IFERROR(SUMPRODUCT(('7. INVESTIMENTO FROTA'!K$186:P$186&gt;'8. DEPRECIAÇÃO DE FROTA'!P$11-5)*(('7. INVESTIMENTO FROTA'!K232:P232*0.2))),0)</f>
        <v>375003.1</v>
      </c>
      <c r="Q28" s="155">
        <f>IFERROR(SUMPRODUCT(('7. INVESTIMENTO FROTA'!L$186:Q$186&gt;'8. DEPRECIAÇÃO DE FROTA'!Q$11-5)*(('7. INVESTIMENTO FROTA'!L232:Q232*0.2))),0)</f>
        <v>525004.34</v>
      </c>
      <c r="R28" s="155">
        <f>IFERROR(SUMPRODUCT(('7. INVESTIMENTO FROTA'!M$186:R$186&gt;'8. DEPRECIAÇÃO DE FROTA'!R$11-5)*(('7. INVESTIMENTO FROTA'!M232:R232*0.2))),0)</f>
        <v>750006.2</v>
      </c>
      <c r="S28" s="155">
        <f>IFERROR(SUMPRODUCT(('7. INVESTIMENTO FROTA'!N$186:S$186&gt;'8. DEPRECIAÇÃO DE FROTA'!S$11-5)*(('7. INVESTIMENTO FROTA'!N232:S232*0.2))),0)</f>
        <v>675005.58</v>
      </c>
      <c r="T28" s="156">
        <f>IFERROR(SUMPRODUCT(('7. INVESTIMENTO FROTA'!O$186:T$186&gt;'8. DEPRECIAÇÃO DE FROTA'!T$11-5)*(('7. INVESTIMENTO FROTA'!O232:T232*0.2))),0)</f>
        <v>600004.96</v>
      </c>
    </row>
    <row r="29" spans="1:20">
      <c r="C29" s="110">
        <v>1</v>
      </c>
      <c r="D29" s="108" t="s">
        <v>89</v>
      </c>
      <c r="E29" s="155"/>
      <c r="F29" s="155">
        <f>SUMPRODUCT(('7. INVESTIMENTO FROTA'!$E$186:F$186&gt;'8. DEPRECIAÇÃO DE FROTA'!F$11-5)*(('7. INVESTIMENTO FROTA'!$E233:F233*0.2)))</f>
        <v>0</v>
      </c>
      <c r="G29" s="155">
        <f>SUMPRODUCT(('7. INVESTIMENTO FROTA'!$E$186:G$186&gt;'8. DEPRECIAÇÃO DE FROTA'!G$11-5)*(('7. INVESTIMENTO FROTA'!$E233:G233*0.2)))</f>
        <v>0</v>
      </c>
      <c r="H29" s="155">
        <f>SUMPRODUCT(('7. INVESTIMENTO FROTA'!$E$186:H$186&gt;'8. DEPRECIAÇÃO DE FROTA'!H$11-5)*(('7. INVESTIMENTO FROTA'!$E233:H233*0.2)))</f>
        <v>0</v>
      </c>
      <c r="I29" s="155">
        <f>SUMPRODUCT(('7. INVESTIMENTO FROTA'!$E$186:I$186&gt;'8. DEPRECIAÇÃO DE FROTA'!I$11-5)*(('7. INVESTIMENTO FROTA'!$E233:I233*0.2)))</f>
        <v>0</v>
      </c>
      <c r="J29" s="155">
        <f>SUMPRODUCT(('7. INVESTIMENTO FROTA'!$E$186:J$186&gt;'8. DEPRECIAÇÃO DE FROTA'!J$11-5)*(('7. INVESTIMENTO FROTA'!$E233:J233*0.2)))</f>
        <v>0</v>
      </c>
      <c r="K29" s="155">
        <f>IFERROR(SUMPRODUCT(('7. INVESTIMENTO FROTA'!F$186:K$186&gt;'8. DEPRECIAÇÃO DE FROTA'!K$11-5)*(('7. INVESTIMENTO FROTA'!F233:K233*0.2))),0)</f>
        <v>0</v>
      </c>
      <c r="L29" s="155">
        <f>IFERROR(SUMPRODUCT(('7. INVESTIMENTO FROTA'!G$186:L$186&gt;'8. DEPRECIAÇÃO DE FROTA'!L$11-5)*(('7. INVESTIMENTO FROTA'!G233:L233*0.2))),0)</f>
        <v>0</v>
      </c>
      <c r="M29" s="155">
        <f>IFERROR(SUMPRODUCT(('7. INVESTIMENTO FROTA'!H$186:M$186&gt;'8. DEPRECIAÇÃO DE FROTA'!M$11-5)*(('7. INVESTIMENTO FROTA'!H233:M233*0.2))),0)</f>
        <v>0</v>
      </c>
      <c r="N29" s="155">
        <f>IFERROR(SUMPRODUCT(('7. INVESTIMENTO FROTA'!I$186:N$186&gt;'8. DEPRECIAÇÃO DE FROTA'!N$11-5)*(('7. INVESTIMENTO FROTA'!I233:N233*0.2))),0)</f>
        <v>0</v>
      </c>
      <c r="O29" s="155">
        <f>IFERROR(SUMPRODUCT(('7. INVESTIMENTO FROTA'!J$186:O$186&gt;'8. DEPRECIAÇÃO DE FROTA'!O$11-5)*(('7. INVESTIMENTO FROTA'!J233:O233*0.2))),0)</f>
        <v>0</v>
      </c>
      <c r="P29" s="155">
        <f>IFERROR(SUMPRODUCT(('7. INVESTIMENTO FROTA'!K$186:P$186&gt;'8. DEPRECIAÇÃO DE FROTA'!P$11-5)*(('7. INVESTIMENTO FROTA'!K233:P233*0.2))),0)</f>
        <v>0</v>
      </c>
      <c r="Q29" s="155">
        <f>IFERROR(SUMPRODUCT(('7. INVESTIMENTO FROTA'!L$186:Q$186&gt;'8. DEPRECIAÇÃO DE FROTA'!Q$11-5)*(('7. INVESTIMENTO FROTA'!L233:Q233*0.2))),0)</f>
        <v>0</v>
      </c>
      <c r="R29" s="155">
        <f>IFERROR(SUMPRODUCT(('7. INVESTIMENTO FROTA'!M$186:R$186&gt;'8. DEPRECIAÇÃO DE FROTA'!R$11-5)*(('7. INVESTIMENTO FROTA'!M233:R233*0.2))),0)</f>
        <v>0</v>
      </c>
      <c r="S29" s="155">
        <f>IFERROR(SUMPRODUCT(('7. INVESTIMENTO FROTA'!N$186:S$186&gt;'8. DEPRECIAÇÃO DE FROTA'!S$11-5)*(('7. INVESTIMENTO FROTA'!N233:S233*0.2))),0)</f>
        <v>0</v>
      </c>
      <c r="T29" s="156">
        <f>IFERROR(SUMPRODUCT(('7. INVESTIMENTO FROTA'!O$186:T$186&gt;'8. DEPRECIAÇÃO DE FROTA'!T$11-5)*(('7. INVESTIMENTO FROTA'!O233:T233*0.2))),0)</f>
        <v>0</v>
      </c>
    </row>
    <row r="30" spans="1:20">
      <c r="C30" s="110">
        <v>2</v>
      </c>
      <c r="D30" s="108" t="s">
        <v>90</v>
      </c>
      <c r="E30" s="155"/>
      <c r="F30" s="155">
        <f>SUMPRODUCT(('7. INVESTIMENTO FROTA'!$E$186:F$186&gt;'8. DEPRECIAÇÃO DE FROTA'!F$11-5)*(('7. INVESTIMENTO FROTA'!$E234:F234*0.2)))</f>
        <v>0</v>
      </c>
      <c r="G30" s="155">
        <f>SUMPRODUCT(('7. INVESTIMENTO FROTA'!$E$186:G$186&gt;'8. DEPRECIAÇÃO DE FROTA'!G$11-5)*(('7. INVESTIMENTO FROTA'!$E234:G234*0.2)))</f>
        <v>0</v>
      </c>
      <c r="H30" s="155">
        <f>SUMPRODUCT(('7. INVESTIMENTO FROTA'!$E$186:H$186&gt;'8. DEPRECIAÇÃO DE FROTA'!H$11-5)*(('7. INVESTIMENTO FROTA'!$E234:H234*0.2)))</f>
        <v>0</v>
      </c>
      <c r="I30" s="155">
        <f>SUMPRODUCT(('7. INVESTIMENTO FROTA'!$E$186:I$186&gt;'8. DEPRECIAÇÃO DE FROTA'!I$11-5)*(('7. INVESTIMENTO FROTA'!$E234:I234*0.2)))</f>
        <v>0</v>
      </c>
      <c r="J30" s="155">
        <f>SUMPRODUCT(('7. INVESTIMENTO FROTA'!$E$186:J$186&gt;'8. DEPRECIAÇÃO DE FROTA'!J$11-5)*(('7. INVESTIMENTO FROTA'!$E234:J234*0.2)))</f>
        <v>0</v>
      </c>
      <c r="K30" s="155">
        <f>IFERROR(SUMPRODUCT(('7. INVESTIMENTO FROTA'!F$186:K$186&gt;'8. DEPRECIAÇÃO DE FROTA'!K$11-5)*(('7. INVESTIMENTO FROTA'!F234:K234*0.2))),0)</f>
        <v>0</v>
      </c>
      <c r="L30" s="155">
        <f>IFERROR(SUMPRODUCT(('7. INVESTIMENTO FROTA'!G$186:L$186&gt;'8. DEPRECIAÇÃO DE FROTA'!L$11-5)*(('7. INVESTIMENTO FROTA'!G234:L234*0.2))),0)</f>
        <v>0</v>
      </c>
      <c r="M30" s="155">
        <f>IFERROR(SUMPRODUCT(('7. INVESTIMENTO FROTA'!H$186:M$186&gt;'8. DEPRECIAÇÃO DE FROTA'!M$11-5)*(('7. INVESTIMENTO FROTA'!H234:M234*0.2))),0)</f>
        <v>0</v>
      </c>
      <c r="N30" s="155">
        <f>IFERROR(SUMPRODUCT(('7. INVESTIMENTO FROTA'!I$186:N$186&gt;'8. DEPRECIAÇÃO DE FROTA'!N$11-5)*(('7. INVESTIMENTO FROTA'!I234:N234*0.2))),0)</f>
        <v>0</v>
      </c>
      <c r="O30" s="155">
        <f>IFERROR(SUMPRODUCT(('7. INVESTIMENTO FROTA'!J$186:O$186&gt;'8. DEPRECIAÇÃO DE FROTA'!O$11-5)*(('7. INVESTIMENTO FROTA'!J234:O234*0.2))),0)</f>
        <v>0</v>
      </c>
      <c r="P30" s="155">
        <f>IFERROR(SUMPRODUCT(('7. INVESTIMENTO FROTA'!K$186:P$186&gt;'8. DEPRECIAÇÃO DE FROTA'!P$11-5)*(('7. INVESTIMENTO FROTA'!K234:P234*0.2))),0)</f>
        <v>0</v>
      </c>
      <c r="Q30" s="155">
        <f>IFERROR(SUMPRODUCT(('7. INVESTIMENTO FROTA'!L$186:Q$186&gt;'8. DEPRECIAÇÃO DE FROTA'!Q$11-5)*(('7. INVESTIMENTO FROTA'!L234:Q234*0.2))),0)</f>
        <v>0</v>
      </c>
      <c r="R30" s="155">
        <f>IFERROR(SUMPRODUCT(('7. INVESTIMENTO FROTA'!M$186:R$186&gt;'8. DEPRECIAÇÃO DE FROTA'!R$11-5)*(('7. INVESTIMENTO FROTA'!M234:R234*0.2))),0)</f>
        <v>0</v>
      </c>
      <c r="S30" s="155">
        <f>IFERROR(SUMPRODUCT(('7. INVESTIMENTO FROTA'!N$186:S$186&gt;'8. DEPRECIAÇÃO DE FROTA'!S$11-5)*(('7. INVESTIMENTO FROTA'!N234:S234*0.2))),0)</f>
        <v>0</v>
      </c>
      <c r="T30" s="156">
        <f>IFERROR(SUMPRODUCT(('7. INVESTIMENTO FROTA'!O$186:T$186&gt;'8. DEPRECIAÇÃO DE FROTA'!T$11-5)*(('7. INVESTIMENTO FROTA'!O234:T234*0.2))),0)</f>
        <v>0</v>
      </c>
    </row>
    <row r="31" spans="1:20">
      <c r="C31" s="110">
        <v>3</v>
      </c>
      <c r="D31" s="108" t="s">
        <v>91</v>
      </c>
      <c r="E31" s="155"/>
      <c r="F31" s="155">
        <f>SUMPRODUCT(('7. INVESTIMENTO FROTA'!$E$186:F$186&gt;'8. DEPRECIAÇÃO DE FROTA'!F$11-5)*(('7. INVESTIMENTO FROTA'!$E235:F235*0.2)))</f>
        <v>0</v>
      </c>
      <c r="G31" s="155">
        <f>SUMPRODUCT(('7. INVESTIMENTO FROTA'!$E$186:G$186&gt;'8. DEPRECIAÇÃO DE FROTA'!G$11-5)*(('7. INVESTIMENTO FROTA'!$E235:G235*0.2)))</f>
        <v>0</v>
      </c>
      <c r="H31" s="155">
        <f>SUMPRODUCT(('7. INVESTIMENTO FROTA'!$E$186:H$186&gt;'8. DEPRECIAÇÃO DE FROTA'!H$11-5)*(('7. INVESTIMENTO FROTA'!$E235:H235*0.2)))</f>
        <v>0</v>
      </c>
      <c r="I31" s="155">
        <f>SUMPRODUCT(('7. INVESTIMENTO FROTA'!$E$186:I$186&gt;'8. DEPRECIAÇÃO DE FROTA'!I$11-5)*(('7. INVESTIMENTO FROTA'!$E235:I235*0.2)))</f>
        <v>0</v>
      </c>
      <c r="J31" s="155">
        <f>SUMPRODUCT(('7. INVESTIMENTO FROTA'!$E$186:J$186&gt;'8. DEPRECIAÇÃO DE FROTA'!J$11-5)*(('7. INVESTIMENTO FROTA'!$E235:J235*0.2)))</f>
        <v>0</v>
      </c>
      <c r="K31" s="155">
        <f>IFERROR(SUMPRODUCT(('7. INVESTIMENTO FROTA'!F$186:K$186&gt;'8. DEPRECIAÇÃO DE FROTA'!K$11-5)*(('7. INVESTIMENTO FROTA'!F235:K235*0.2))),0)</f>
        <v>0</v>
      </c>
      <c r="L31" s="155">
        <f>IFERROR(SUMPRODUCT(('7. INVESTIMENTO FROTA'!G$186:L$186&gt;'8. DEPRECIAÇÃO DE FROTA'!L$11-5)*(('7. INVESTIMENTO FROTA'!G235:L235*0.2))),0)</f>
        <v>0</v>
      </c>
      <c r="M31" s="155">
        <f>IFERROR(SUMPRODUCT(('7. INVESTIMENTO FROTA'!H$186:M$186&gt;'8. DEPRECIAÇÃO DE FROTA'!M$11-5)*(('7. INVESTIMENTO FROTA'!H235:M235*0.2))),0)</f>
        <v>0</v>
      </c>
      <c r="N31" s="155">
        <f>IFERROR(SUMPRODUCT(('7. INVESTIMENTO FROTA'!I$186:N$186&gt;'8. DEPRECIAÇÃO DE FROTA'!N$11-5)*(('7. INVESTIMENTO FROTA'!I235:N235*0.2))),0)</f>
        <v>0</v>
      </c>
      <c r="O31" s="155">
        <f>IFERROR(SUMPRODUCT(('7. INVESTIMENTO FROTA'!J$186:O$186&gt;'8. DEPRECIAÇÃO DE FROTA'!O$11-5)*(('7. INVESTIMENTO FROTA'!J235:O235*0.2))),0)</f>
        <v>0</v>
      </c>
      <c r="P31" s="155">
        <f>IFERROR(SUMPRODUCT(('7. INVESTIMENTO FROTA'!K$186:P$186&gt;'8. DEPRECIAÇÃO DE FROTA'!P$11-5)*(('7. INVESTIMENTO FROTA'!K235:P235*0.2))),0)</f>
        <v>0</v>
      </c>
      <c r="Q31" s="155">
        <f>IFERROR(SUMPRODUCT(('7. INVESTIMENTO FROTA'!L$186:Q$186&gt;'8. DEPRECIAÇÃO DE FROTA'!Q$11-5)*(('7. INVESTIMENTO FROTA'!L235:Q235*0.2))),0)</f>
        <v>0</v>
      </c>
      <c r="R31" s="155">
        <f>IFERROR(SUMPRODUCT(('7. INVESTIMENTO FROTA'!M$186:R$186&gt;'8. DEPRECIAÇÃO DE FROTA'!R$11-5)*(('7. INVESTIMENTO FROTA'!M235:R235*0.2))),0)</f>
        <v>0</v>
      </c>
      <c r="S31" s="155">
        <f>IFERROR(SUMPRODUCT(('7. INVESTIMENTO FROTA'!N$186:S$186&gt;'8. DEPRECIAÇÃO DE FROTA'!S$11-5)*(('7. INVESTIMENTO FROTA'!N235:S235*0.2))),0)</f>
        <v>0</v>
      </c>
      <c r="T31" s="156">
        <f>IFERROR(SUMPRODUCT(('7. INVESTIMENTO FROTA'!O$186:T$186&gt;'8. DEPRECIAÇÃO DE FROTA'!T$11-5)*(('7. INVESTIMENTO FROTA'!O235:T235*0.2))),0)</f>
        <v>0</v>
      </c>
    </row>
    <row r="32" spans="1:20">
      <c r="C32" s="110">
        <v>4</v>
      </c>
      <c r="D32" s="108" t="s">
        <v>92</v>
      </c>
      <c r="E32" s="155"/>
      <c r="F32" s="155">
        <f>SUMPRODUCT(('7. INVESTIMENTO FROTA'!$E$186:F$186&gt;'8. DEPRECIAÇÃO DE FROTA'!F$11-5)*(('7. INVESTIMENTO FROTA'!$E236:F236*0.2)))</f>
        <v>0</v>
      </c>
      <c r="G32" s="155">
        <f>SUMPRODUCT(('7. INVESTIMENTO FROTA'!$E$186:G$186&gt;'8. DEPRECIAÇÃO DE FROTA'!G$11-5)*(('7. INVESTIMENTO FROTA'!$E236:G236*0.2)))</f>
        <v>0</v>
      </c>
      <c r="H32" s="155">
        <f>SUMPRODUCT(('7. INVESTIMENTO FROTA'!$E$186:H$186&gt;'8. DEPRECIAÇÃO DE FROTA'!H$11-5)*(('7. INVESTIMENTO FROTA'!$E236:H236*0.2)))</f>
        <v>0</v>
      </c>
      <c r="I32" s="155">
        <f>SUMPRODUCT(('7. INVESTIMENTO FROTA'!$E$186:I$186&gt;'8. DEPRECIAÇÃO DE FROTA'!I$11-5)*(('7. INVESTIMENTO FROTA'!$E236:I236*0.2)))</f>
        <v>0</v>
      </c>
      <c r="J32" s="155">
        <f>SUMPRODUCT(('7. INVESTIMENTO FROTA'!$E$186:J$186&gt;'8. DEPRECIAÇÃO DE FROTA'!J$11-5)*(('7. INVESTIMENTO FROTA'!$E236:J236*0.2)))</f>
        <v>0</v>
      </c>
      <c r="K32" s="155">
        <f>IFERROR(SUMPRODUCT(('7. INVESTIMENTO FROTA'!F$186:K$186&gt;'8. DEPRECIAÇÃO DE FROTA'!K$11-5)*(('7. INVESTIMENTO FROTA'!F236:K236*0.2))),0)</f>
        <v>0</v>
      </c>
      <c r="L32" s="155">
        <f>IFERROR(SUMPRODUCT(('7. INVESTIMENTO FROTA'!G$186:L$186&gt;'8. DEPRECIAÇÃO DE FROTA'!L$11-5)*(('7. INVESTIMENTO FROTA'!G236:L236*0.2))),0)</f>
        <v>0</v>
      </c>
      <c r="M32" s="155">
        <f>IFERROR(SUMPRODUCT(('7. INVESTIMENTO FROTA'!H$186:M$186&gt;'8. DEPRECIAÇÃO DE FROTA'!M$11-5)*(('7. INVESTIMENTO FROTA'!H236:M236*0.2))),0)</f>
        <v>0</v>
      </c>
      <c r="N32" s="155">
        <f>IFERROR(SUMPRODUCT(('7. INVESTIMENTO FROTA'!I$186:N$186&gt;'8. DEPRECIAÇÃO DE FROTA'!N$11-5)*(('7. INVESTIMENTO FROTA'!I236:N236*0.2))),0)</f>
        <v>0</v>
      </c>
      <c r="O32" s="155">
        <f>IFERROR(SUMPRODUCT(('7. INVESTIMENTO FROTA'!J$186:O$186&gt;'8. DEPRECIAÇÃO DE FROTA'!O$11-5)*(('7. INVESTIMENTO FROTA'!J236:O236*0.2))),0)</f>
        <v>0</v>
      </c>
      <c r="P32" s="155">
        <f>IFERROR(SUMPRODUCT(('7. INVESTIMENTO FROTA'!K$186:P$186&gt;'8. DEPRECIAÇÃO DE FROTA'!P$11-5)*(('7. INVESTIMENTO FROTA'!K236:P236*0.2))),0)</f>
        <v>0</v>
      </c>
      <c r="Q32" s="155">
        <f>IFERROR(SUMPRODUCT(('7. INVESTIMENTO FROTA'!L$186:Q$186&gt;'8. DEPRECIAÇÃO DE FROTA'!Q$11-5)*(('7. INVESTIMENTO FROTA'!L236:Q236*0.2))),0)</f>
        <v>0</v>
      </c>
      <c r="R32" s="155">
        <f>IFERROR(SUMPRODUCT(('7. INVESTIMENTO FROTA'!M$186:R$186&gt;'8. DEPRECIAÇÃO DE FROTA'!R$11-5)*(('7. INVESTIMENTO FROTA'!M236:R236*0.2))),0)</f>
        <v>0</v>
      </c>
      <c r="S32" s="155">
        <f>IFERROR(SUMPRODUCT(('7. INVESTIMENTO FROTA'!N$186:S$186&gt;'8. DEPRECIAÇÃO DE FROTA'!S$11-5)*(('7. INVESTIMENTO FROTA'!N236:S236*0.2))),0)</f>
        <v>0</v>
      </c>
      <c r="T32" s="156">
        <f>IFERROR(SUMPRODUCT(('7. INVESTIMENTO FROTA'!O$186:T$186&gt;'8. DEPRECIAÇÃO DE FROTA'!T$11-5)*(('7. INVESTIMENTO FROTA'!O236:T236*0.2))),0)</f>
        <v>0</v>
      </c>
    </row>
    <row r="33" spans="1:20">
      <c r="C33" s="110">
        <v>5</v>
      </c>
      <c r="D33" s="108" t="s">
        <v>93</v>
      </c>
      <c r="E33" s="155"/>
      <c r="F33" s="155">
        <f>SUMPRODUCT(('7. INVESTIMENTO FROTA'!$E$186:F$186&gt;'8. DEPRECIAÇÃO DE FROTA'!F$11-5)*(('7. INVESTIMENTO FROTA'!$E237:F237*0.2)))</f>
        <v>187501.55000000002</v>
      </c>
      <c r="G33" s="155">
        <f>SUMPRODUCT(('7. INVESTIMENTO FROTA'!$E$186:G$186&gt;'8. DEPRECIAÇÃO DE FROTA'!G$11-5)*(('7. INVESTIMENTO FROTA'!$E237:G237*0.2)))</f>
        <v>187501.55000000002</v>
      </c>
      <c r="H33" s="155">
        <f>SUMPRODUCT(('7. INVESTIMENTO FROTA'!$E$186:H$186&gt;'8. DEPRECIAÇÃO DE FROTA'!H$11-5)*(('7. INVESTIMENTO FROTA'!$E237:H237*0.2)))</f>
        <v>187501.55000000002</v>
      </c>
      <c r="I33" s="155">
        <f>SUMPRODUCT(('7. INVESTIMENTO FROTA'!$E$186:I$186&gt;'8. DEPRECIAÇÃO DE FROTA'!I$11-5)*(('7. INVESTIMENTO FROTA'!$E237:I237*0.2)))</f>
        <v>187501.55000000002</v>
      </c>
      <c r="J33" s="155">
        <f>SUMPRODUCT(('7. INVESTIMENTO FROTA'!$E$186:J$186&gt;'8. DEPRECIAÇÃO DE FROTA'!J$11-5)*(('7. INVESTIMENTO FROTA'!$E237:J237*0.2)))</f>
        <v>187501.55000000002</v>
      </c>
      <c r="K33" s="155">
        <f>IFERROR(SUMPRODUCT(('7. INVESTIMENTO FROTA'!F$186:K$186&gt;'8. DEPRECIAÇÃO DE FROTA'!K$11-5)*(('7. INVESTIMENTO FROTA'!F237:K237*0.2))),0)</f>
        <v>0</v>
      </c>
      <c r="L33" s="155">
        <f>IFERROR(SUMPRODUCT(('7. INVESTIMENTO FROTA'!G$186:L$186&gt;'8. DEPRECIAÇÃO DE FROTA'!L$11-5)*(('7. INVESTIMENTO FROTA'!G237:L237*0.2))),0)</f>
        <v>0</v>
      </c>
      <c r="M33" s="155">
        <f>IFERROR(SUMPRODUCT(('7. INVESTIMENTO FROTA'!H$186:M$186&gt;'8. DEPRECIAÇÃO DE FROTA'!M$11-5)*(('7. INVESTIMENTO FROTA'!H237:M237*0.2))),0)</f>
        <v>0</v>
      </c>
      <c r="N33" s="155">
        <f>IFERROR(SUMPRODUCT(('7. INVESTIMENTO FROTA'!I$186:N$186&gt;'8. DEPRECIAÇÃO DE FROTA'!N$11-5)*(('7. INVESTIMENTO FROTA'!I237:N237*0.2))),0)</f>
        <v>0</v>
      </c>
      <c r="O33" s="155">
        <f>IFERROR(SUMPRODUCT(('7. INVESTIMENTO FROTA'!J$186:O$186&gt;'8. DEPRECIAÇÃO DE FROTA'!O$11-5)*(('7. INVESTIMENTO FROTA'!J237:O237*0.2))),0)</f>
        <v>0</v>
      </c>
      <c r="P33" s="155">
        <f>IFERROR(SUMPRODUCT(('7. INVESTIMENTO FROTA'!K$186:P$186&gt;'8. DEPRECIAÇÃO DE FROTA'!P$11-5)*(('7. INVESTIMENTO FROTA'!K237:P237*0.2))),0)</f>
        <v>0</v>
      </c>
      <c r="Q33" s="155">
        <f>IFERROR(SUMPRODUCT(('7. INVESTIMENTO FROTA'!L$186:Q$186&gt;'8. DEPRECIAÇÃO DE FROTA'!Q$11-5)*(('7. INVESTIMENTO FROTA'!L237:Q237*0.2))),0)</f>
        <v>0</v>
      </c>
      <c r="R33" s="155">
        <f>IFERROR(SUMPRODUCT(('7. INVESTIMENTO FROTA'!M$186:R$186&gt;'8. DEPRECIAÇÃO DE FROTA'!R$11-5)*(('7. INVESTIMENTO FROTA'!M237:R237*0.2))),0)</f>
        <v>0</v>
      </c>
      <c r="S33" s="155">
        <f>IFERROR(SUMPRODUCT(('7. INVESTIMENTO FROTA'!N$186:S$186&gt;'8. DEPRECIAÇÃO DE FROTA'!S$11-5)*(('7. INVESTIMENTO FROTA'!N237:S237*0.2))),0)</f>
        <v>0</v>
      </c>
      <c r="T33" s="156">
        <f>IFERROR(SUMPRODUCT(('7. INVESTIMENTO FROTA'!O$186:T$186&gt;'8. DEPRECIAÇÃO DE FROTA'!T$11-5)*(('7. INVESTIMENTO FROTA'!O237:T237*0.2))),0)</f>
        <v>0</v>
      </c>
    </row>
    <row r="34" spans="1:20">
      <c r="C34" s="110">
        <v>6</v>
      </c>
      <c r="D34" s="108" t="s">
        <v>94</v>
      </c>
      <c r="E34" s="155"/>
      <c r="F34" s="155">
        <f>SUMPRODUCT(('7. INVESTIMENTO FROTA'!$E$186:F$186&gt;'8. DEPRECIAÇÃO DE FROTA'!F$11-5)*(('7. INVESTIMENTO FROTA'!$E238:F238*0.2)))</f>
        <v>0</v>
      </c>
      <c r="G34" s="155">
        <f>SUMPRODUCT(('7. INVESTIMENTO FROTA'!$E$186:G$186&gt;'8. DEPRECIAÇÃO DE FROTA'!G$11-5)*(('7. INVESTIMENTO FROTA'!$E238:G238*0.2)))</f>
        <v>0</v>
      </c>
      <c r="H34" s="155">
        <f>SUMPRODUCT(('7. INVESTIMENTO FROTA'!$E$186:H$186&gt;'8. DEPRECIAÇÃO DE FROTA'!H$11-5)*(('7. INVESTIMENTO FROTA'!$E238:H238*0.2)))</f>
        <v>0</v>
      </c>
      <c r="I34" s="155">
        <f>SUMPRODUCT(('7. INVESTIMENTO FROTA'!$E$186:I$186&gt;'8. DEPRECIAÇÃO DE FROTA'!I$11-5)*(('7. INVESTIMENTO FROTA'!$E238:I238*0.2)))</f>
        <v>0</v>
      </c>
      <c r="J34" s="155">
        <f>SUMPRODUCT(('7. INVESTIMENTO FROTA'!$E$186:J$186&gt;'8. DEPRECIAÇÃO DE FROTA'!J$11-5)*(('7. INVESTIMENTO FROTA'!$E238:J238*0.2)))</f>
        <v>0</v>
      </c>
      <c r="K34" s="155">
        <f>IFERROR(SUMPRODUCT(('7. INVESTIMENTO FROTA'!F$186:K$186&gt;'8. DEPRECIAÇÃO DE FROTA'!K$11-5)*(('7. INVESTIMENTO FROTA'!F238:K238*0.2))),0)</f>
        <v>0</v>
      </c>
      <c r="L34" s="155">
        <f>IFERROR(SUMPRODUCT(('7. INVESTIMENTO FROTA'!G$186:L$186&gt;'8. DEPRECIAÇÃO DE FROTA'!L$11-5)*(('7. INVESTIMENTO FROTA'!G238:L238*0.2))),0)</f>
        <v>0</v>
      </c>
      <c r="M34" s="155">
        <f>IFERROR(SUMPRODUCT(('7. INVESTIMENTO FROTA'!H$186:M$186&gt;'8. DEPRECIAÇÃO DE FROTA'!M$11-5)*(('7. INVESTIMENTO FROTA'!H238:M238*0.2))),0)</f>
        <v>0</v>
      </c>
      <c r="N34" s="155">
        <f>IFERROR(SUMPRODUCT(('7. INVESTIMENTO FROTA'!I$186:N$186&gt;'8. DEPRECIAÇÃO DE FROTA'!N$11-5)*(('7. INVESTIMENTO FROTA'!I238:N238*0.2))),0)</f>
        <v>0</v>
      </c>
      <c r="O34" s="155">
        <f>IFERROR(SUMPRODUCT(('7. INVESTIMENTO FROTA'!J$186:O$186&gt;'8. DEPRECIAÇÃO DE FROTA'!O$11-5)*(('7. INVESTIMENTO FROTA'!J238:O238*0.2))),0)</f>
        <v>0</v>
      </c>
      <c r="P34" s="155">
        <f>IFERROR(SUMPRODUCT(('7. INVESTIMENTO FROTA'!K$186:P$186&gt;'8. DEPRECIAÇÃO DE FROTA'!P$11-5)*(('7. INVESTIMENTO FROTA'!K238:P238*0.2))),0)</f>
        <v>0</v>
      </c>
      <c r="Q34" s="155">
        <f>IFERROR(SUMPRODUCT(('7. INVESTIMENTO FROTA'!L$186:Q$186&gt;'8. DEPRECIAÇÃO DE FROTA'!Q$11-5)*(('7. INVESTIMENTO FROTA'!L238:Q238*0.2))),0)</f>
        <v>0</v>
      </c>
      <c r="R34" s="155">
        <f>IFERROR(SUMPRODUCT(('7. INVESTIMENTO FROTA'!M$186:R$186&gt;'8. DEPRECIAÇÃO DE FROTA'!R$11-5)*(('7. INVESTIMENTO FROTA'!M238:R238*0.2))),0)</f>
        <v>0</v>
      </c>
      <c r="S34" s="155">
        <f>IFERROR(SUMPRODUCT(('7. INVESTIMENTO FROTA'!N$186:S$186&gt;'8. DEPRECIAÇÃO DE FROTA'!S$11-5)*(('7. INVESTIMENTO FROTA'!N238:S238*0.2))),0)</f>
        <v>0</v>
      </c>
      <c r="T34" s="156">
        <f>IFERROR(SUMPRODUCT(('7. INVESTIMENTO FROTA'!O$186:T$186&gt;'8. DEPRECIAÇÃO DE FROTA'!T$11-5)*(('7. INVESTIMENTO FROTA'!O238:T238*0.2))),0)</f>
        <v>0</v>
      </c>
    </row>
    <row r="35" spans="1:20">
      <c r="C35" s="110">
        <v>7</v>
      </c>
      <c r="D35" s="108" t="s">
        <v>95</v>
      </c>
      <c r="E35" s="155"/>
      <c r="F35" s="155">
        <f>SUMPRODUCT(('7. INVESTIMENTO FROTA'!$E$186:F$186&gt;'8. DEPRECIAÇÃO DE FROTA'!F$11-5)*(('7. INVESTIMENTO FROTA'!$E239:F239*0.2)))</f>
        <v>0</v>
      </c>
      <c r="G35" s="155">
        <f>SUMPRODUCT(('7. INVESTIMENTO FROTA'!$E$186:G$186&gt;'8. DEPRECIAÇÃO DE FROTA'!G$11-5)*(('7. INVESTIMENTO FROTA'!$E239:G239*0.2)))</f>
        <v>0</v>
      </c>
      <c r="H35" s="155">
        <f>SUMPRODUCT(('7. INVESTIMENTO FROTA'!$E$186:H$186&gt;'8. DEPRECIAÇÃO DE FROTA'!H$11-5)*(('7. INVESTIMENTO FROTA'!$E239:H239*0.2)))</f>
        <v>0</v>
      </c>
      <c r="I35" s="155">
        <f>SUMPRODUCT(('7. INVESTIMENTO FROTA'!$E$186:I$186&gt;'8. DEPRECIAÇÃO DE FROTA'!I$11-5)*(('7. INVESTIMENTO FROTA'!$E239:I239*0.2)))</f>
        <v>0</v>
      </c>
      <c r="J35" s="155">
        <f>SUMPRODUCT(('7. INVESTIMENTO FROTA'!$E$186:J$186&gt;'8. DEPRECIAÇÃO DE FROTA'!J$11-5)*(('7. INVESTIMENTO FROTA'!$E239:J239*0.2)))</f>
        <v>0</v>
      </c>
      <c r="K35" s="155">
        <f>IFERROR(SUMPRODUCT(('7. INVESTIMENTO FROTA'!F$186:K$186&gt;'8. DEPRECIAÇÃO DE FROTA'!K$11-5)*(('7. INVESTIMENTO FROTA'!F239:K239*0.2))),0)</f>
        <v>0</v>
      </c>
      <c r="L35" s="155">
        <f>IFERROR(SUMPRODUCT(('7. INVESTIMENTO FROTA'!G$186:L$186&gt;'8. DEPRECIAÇÃO DE FROTA'!L$11-5)*(('7. INVESTIMENTO FROTA'!G239:L239*0.2))),0)</f>
        <v>0</v>
      </c>
      <c r="M35" s="155">
        <f>IFERROR(SUMPRODUCT(('7. INVESTIMENTO FROTA'!H$186:M$186&gt;'8. DEPRECIAÇÃO DE FROTA'!M$11-5)*(('7. INVESTIMENTO FROTA'!H239:M239*0.2))),0)</f>
        <v>0</v>
      </c>
      <c r="N35" s="155">
        <f>IFERROR(SUMPRODUCT(('7. INVESTIMENTO FROTA'!I$186:N$186&gt;'8. DEPRECIAÇÃO DE FROTA'!N$11-5)*(('7. INVESTIMENTO FROTA'!I239:N239*0.2))),0)</f>
        <v>0</v>
      </c>
      <c r="O35" s="155">
        <f>IFERROR(SUMPRODUCT(('7. INVESTIMENTO FROTA'!J$186:O$186&gt;'8. DEPRECIAÇÃO DE FROTA'!O$11-5)*(('7. INVESTIMENTO FROTA'!J239:O239*0.2))),0)</f>
        <v>0</v>
      </c>
      <c r="P35" s="155">
        <f>IFERROR(SUMPRODUCT(('7. INVESTIMENTO FROTA'!K$186:P$186&gt;'8. DEPRECIAÇÃO DE FROTA'!P$11-5)*(('7. INVESTIMENTO FROTA'!K239:P239*0.2))),0)</f>
        <v>0</v>
      </c>
      <c r="Q35" s="155">
        <f>IFERROR(SUMPRODUCT(('7. INVESTIMENTO FROTA'!L$186:Q$186&gt;'8. DEPRECIAÇÃO DE FROTA'!Q$11-5)*(('7. INVESTIMENTO FROTA'!L239:Q239*0.2))),0)</f>
        <v>0</v>
      </c>
      <c r="R35" s="155">
        <f>IFERROR(SUMPRODUCT(('7. INVESTIMENTO FROTA'!M$186:R$186&gt;'8. DEPRECIAÇÃO DE FROTA'!R$11-5)*(('7. INVESTIMENTO FROTA'!M239:R239*0.2))),0)</f>
        <v>0</v>
      </c>
      <c r="S35" s="155">
        <f>IFERROR(SUMPRODUCT(('7. INVESTIMENTO FROTA'!N$186:S$186&gt;'8. DEPRECIAÇÃO DE FROTA'!S$11-5)*(('7. INVESTIMENTO FROTA'!N239:S239*0.2))),0)</f>
        <v>0</v>
      </c>
      <c r="T35" s="156">
        <f>IFERROR(SUMPRODUCT(('7. INVESTIMENTO FROTA'!O$186:T$186&gt;'8. DEPRECIAÇÃO DE FROTA'!T$11-5)*(('7. INVESTIMENTO FROTA'!O239:T239*0.2))),0)</f>
        <v>0</v>
      </c>
    </row>
    <row r="36" spans="1:20">
      <c r="C36" s="110">
        <v>8</v>
      </c>
      <c r="D36" s="108" t="s">
        <v>96</v>
      </c>
      <c r="E36" s="155"/>
      <c r="F36" s="155">
        <f>SUMPRODUCT(('7. INVESTIMENTO FROTA'!$E$186:F$186&gt;'8. DEPRECIAÇÃO DE FROTA'!F$11-5)*(('7. INVESTIMENTO FROTA'!$E240:F240*0.2)))</f>
        <v>0</v>
      </c>
      <c r="G36" s="155">
        <f>SUMPRODUCT(('7. INVESTIMENTO FROTA'!$E$186:G$186&gt;'8. DEPRECIAÇÃO DE FROTA'!G$11-5)*(('7. INVESTIMENTO FROTA'!$E240:G240*0.2)))</f>
        <v>0</v>
      </c>
      <c r="H36" s="155">
        <f>SUMPRODUCT(('7. INVESTIMENTO FROTA'!$E$186:H$186&gt;'8. DEPRECIAÇÃO DE FROTA'!H$11-5)*(('7. INVESTIMENTO FROTA'!$E240:H240*0.2)))</f>
        <v>0</v>
      </c>
      <c r="I36" s="155">
        <f>SUMPRODUCT(('7. INVESTIMENTO FROTA'!$E$186:I$186&gt;'8. DEPRECIAÇÃO DE FROTA'!I$11-5)*(('7. INVESTIMENTO FROTA'!$E240:I240*0.2)))</f>
        <v>0</v>
      </c>
      <c r="J36" s="155">
        <f>SUMPRODUCT(('7. INVESTIMENTO FROTA'!$E$186:J$186&gt;'8. DEPRECIAÇÃO DE FROTA'!J$11-5)*(('7. INVESTIMENTO FROTA'!$E240:J240*0.2)))</f>
        <v>0</v>
      </c>
      <c r="K36" s="155">
        <f>IFERROR(SUMPRODUCT(('7. INVESTIMENTO FROTA'!F$186:K$186&gt;'8. DEPRECIAÇÃO DE FROTA'!K$11-5)*(('7. INVESTIMENTO FROTA'!F240:K240*0.2))),0)</f>
        <v>0</v>
      </c>
      <c r="L36" s="155">
        <f>IFERROR(SUMPRODUCT(('7. INVESTIMENTO FROTA'!G$186:L$186&gt;'8. DEPRECIAÇÃO DE FROTA'!L$11-5)*(('7. INVESTIMENTO FROTA'!G240:L240*0.2))),0)</f>
        <v>0</v>
      </c>
      <c r="M36" s="155">
        <f>IFERROR(SUMPRODUCT(('7. INVESTIMENTO FROTA'!H$186:M$186&gt;'8. DEPRECIAÇÃO DE FROTA'!M$11-5)*(('7. INVESTIMENTO FROTA'!H240:M240*0.2))),0)</f>
        <v>0</v>
      </c>
      <c r="N36" s="155">
        <f>IFERROR(SUMPRODUCT(('7. INVESTIMENTO FROTA'!I$186:N$186&gt;'8. DEPRECIAÇÃO DE FROTA'!N$11-5)*(('7. INVESTIMENTO FROTA'!I240:N240*0.2))),0)</f>
        <v>0</v>
      </c>
      <c r="O36" s="155">
        <f>IFERROR(SUMPRODUCT(('7. INVESTIMENTO FROTA'!J$186:O$186&gt;'8. DEPRECIAÇÃO DE FROTA'!O$11-5)*(('7. INVESTIMENTO FROTA'!J240:O240*0.2))),0)</f>
        <v>0</v>
      </c>
      <c r="P36" s="155">
        <f>IFERROR(SUMPRODUCT(('7. INVESTIMENTO FROTA'!K$186:P$186&gt;'8. DEPRECIAÇÃO DE FROTA'!P$11-5)*(('7. INVESTIMENTO FROTA'!K240:P240*0.2))),0)</f>
        <v>0</v>
      </c>
      <c r="Q36" s="155">
        <f>IFERROR(SUMPRODUCT(('7. INVESTIMENTO FROTA'!L$186:Q$186&gt;'8. DEPRECIAÇÃO DE FROTA'!Q$11-5)*(('7. INVESTIMENTO FROTA'!L240:Q240*0.2))),0)</f>
        <v>0</v>
      </c>
      <c r="R36" s="155">
        <f>IFERROR(SUMPRODUCT(('7. INVESTIMENTO FROTA'!M$186:R$186&gt;'8. DEPRECIAÇÃO DE FROTA'!R$11-5)*(('7. INVESTIMENTO FROTA'!M240:R240*0.2))),0)</f>
        <v>0</v>
      </c>
      <c r="S36" s="155">
        <f>IFERROR(SUMPRODUCT(('7. INVESTIMENTO FROTA'!N$186:S$186&gt;'8. DEPRECIAÇÃO DE FROTA'!S$11-5)*(('7. INVESTIMENTO FROTA'!N240:S240*0.2))),0)</f>
        <v>0</v>
      </c>
      <c r="T36" s="156">
        <f>IFERROR(SUMPRODUCT(('7. INVESTIMENTO FROTA'!O$186:T$186&gt;'8. DEPRECIAÇÃO DE FROTA'!T$11-5)*(('7. INVESTIMENTO FROTA'!O240:T240*0.2))),0)</f>
        <v>0</v>
      </c>
    </row>
    <row r="37" spans="1:20">
      <c r="C37" s="110">
        <v>9</v>
      </c>
      <c r="D37" s="108" t="s">
        <v>97</v>
      </c>
      <c r="E37" s="155"/>
      <c r="F37" s="155">
        <f>SUMPRODUCT(('7. INVESTIMENTO FROTA'!$E$186:F$186&gt;'8. DEPRECIAÇÃO DE FROTA'!F$11-5)*(('7. INVESTIMENTO FROTA'!$E241:F241*0.2)))</f>
        <v>0</v>
      </c>
      <c r="G37" s="155">
        <f>SUMPRODUCT(('7. INVESTIMENTO FROTA'!$E$186:G$186&gt;'8. DEPRECIAÇÃO DE FROTA'!G$11-5)*(('7. INVESTIMENTO FROTA'!$E241:G241*0.2)))</f>
        <v>0</v>
      </c>
      <c r="H37" s="155">
        <f>SUMPRODUCT(('7. INVESTIMENTO FROTA'!$E$186:H$186&gt;'8. DEPRECIAÇÃO DE FROTA'!H$11-5)*(('7. INVESTIMENTO FROTA'!$E241:H241*0.2)))</f>
        <v>0</v>
      </c>
      <c r="I37" s="155">
        <f>SUMPRODUCT(('7. INVESTIMENTO FROTA'!$E$186:I$186&gt;'8. DEPRECIAÇÃO DE FROTA'!I$11-5)*(('7. INVESTIMENTO FROTA'!$E241:I241*0.2)))</f>
        <v>0</v>
      </c>
      <c r="J37" s="155">
        <f>SUMPRODUCT(('7. INVESTIMENTO FROTA'!$E$186:J$186&gt;'8. DEPRECIAÇÃO DE FROTA'!J$11-5)*(('7. INVESTIMENTO FROTA'!$E241:J241*0.2)))</f>
        <v>0</v>
      </c>
      <c r="K37" s="155">
        <f>IFERROR(SUMPRODUCT(('7. INVESTIMENTO FROTA'!F$186:K$186&gt;'8. DEPRECIAÇÃO DE FROTA'!K$11-5)*(('7. INVESTIMENTO FROTA'!F241:K241*0.2))),0)</f>
        <v>0</v>
      </c>
      <c r="L37" s="155">
        <f>IFERROR(SUMPRODUCT(('7. INVESTIMENTO FROTA'!G$186:L$186&gt;'8. DEPRECIAÇÃO DE FROTA'!L$11-5)*(('7. INVESTIMENTO FROTA'!G241:L241*0.2))),0)</f>
        <v>0</v>
      </c>
      <c r="M37" s="155">
        <f>IFERROR(SUMPRODUCT(('7. INVESTIMENTO FROTA'!H$186:M$186&gt;'8. DEPRECIAÇÃO DE FROTA'!M$11-5)*(('7. INVESTIMENTO FROTA'!H241:M241*0.2))),0)</f>
        <v>0</v>
      </c>
      <c r="N37" s="155">
        <f>IFERROR(SUMPRODUCT(('7. INVESTIMENTO FROTA'!I$186:N$186&gt;'8. DEPRECIAÇÃO DE FROTA'!N$11-5)*(('7. INVESTIMENTO FROTA'!I241:N241*0.2))),0)</f>
        <v>0</v>
      </c>
      <c r="O37" s="155">
        <f>IFERROR(SUMPRODUCT(('7. INVESTIMENTO FROTA'!J$186:O$186&gt;'8. DEPRECIAÇÃO DE FROTA'!O$11-5)*(('7. INVESTIMENTO FROTA'!J241:O241*0.2))),0)</f>
        <v>0</v>
      </c>
      <c r="P37" s="155">
        <f>IFERROR(SUMPRODUCT(('7. INVESTIMENTO FROTA'!K$186:P$186&gt;'8. DEPRECIAÇÃO DE FROTA'!P$11-5)*(('7. INVESTIMENTO FROTA'!K241:P241*0.2))),0)</f>
        <v>0</v>
      </c>
      <c r="Q37" s="155">
        <f>IFERROR(SUMPRODUCT(('7. INVESTIMENTO FROTA'!L$186:Q$186&gt;'8. DEPRECIAÇÃO DE FROTA'!Q$11-5)*(('7. INVESTIMENTO FROTA'!L241:Q241*0.2))),0)</f>
        <v>0</v>
      </c>
      <c r="R37" s="155">
        <f>IFERROR(SUMPRODUCT(('7. INVESTIMENTO FROTA'!M$186:R$186&gt;'8. DEPRECIAÇÃO DE FROTA'!R$11-5)*(('7. INVESTIMENTO FROTA'!M241:R241*0.2))),0)</f>
        <v>0</v>
      </c>
      <c r="S37" s="155">
        <f>IFERROR(SUMPRODUCT(('7. INVESTIMENTO FROTA'!N$186:S$186&gt;'8. DEPRECIAÇÃO DE FROTA'!S$11-5)*(('7. INVESTIMENTO FROTA'!N241:S241*0.2))),0)</f>
        <v>0</v>
      </c>
      <c r="T37" s="156">
        <f>IFERROR(SUMPRODUCT(('7. INVESTIMENTO FROTA'!O$186:T$186&gt;'8. DEPRECIAÇÃO DE FROTA'!T$11-5)*(('7. INVESTIMENTO FROTA'!O241:T241*0.2))),0)</f>
        <v>0</v>
      </c>
    </row>
    <row r="38" spans="1:20">
      <c r="C38" s="110">
        <v>10</v>
      </c>
      <c r="D38" s="109" t="s">
        <v>98</v>
      </c>
      <c r="E38" s="155"/>
      <c r="F38" s="155">
        <f>SUMPRODUCT(('7. INVESTIMENTO FROTA'!$E$186:F$186&gt;'8. DEPRECIAÇÃO DE FROTA'!F$11-5)*(('7. INVESTIMENTO FROTA'!$E242:F242*0.2)))</f>
        <v>0</v>
      </c>
      <c r="G38" s="155">
        <f>SUMPRODUCT(('7. INVESTIMENTO FROTA'!$E$186:G$186&gt;'8. DEPRECIAÇÃO DE FROTA'!G$11-5)*(('7. INVESTIMENTO FROTA'!$E242:G242*0.2)))</f>
        <v>0</v>
      </c>
      <c r="H38" s="155">
        <f>SUMPRODUCT(('7. INVESTIMENTO FROTA'!$E$186:H$186&gt;'8. DEPRECIAÇÃO DE FROTA'!H$11-5)*(('7. INVESTIMENTO FROTA'!$E242:H242*0.2)))</f>
        <v>0</v>
      </c>
      <c r="I38" s="155">
        <f>SUMPRODUCT(('7. INVESTIMENTO FROTA'!$E$186:I$186&gt;'8. DEPRECIAÇÃO DE FROTA'!I$11-5)*(('7. INVESTIMENTO FROTA'!$E242:I242*0.2)))</f>
        <v>0</v>
      </c>
      <c r="J38" s="155">
        <f>SUMPRODUCT(('7. INVESTIMENTO FROTA'!$E$186:J$186&gt;'8. DEPRECIAÇÃO DE FROTA'!J$11-5)*(('7. INVESTIMENTO FROTA'!$E242:J242*0.2)))</f>
        <v>0</v>
      </c>
      <c r="K38" s="155">
        <f>IFERROR(SUMPRODUCT(('7. INVESTIMENTO FROTA'!F$186:K$186&gt;'8. DEPRECIAÇÃO DE FROTA'!K$11-5)*(('7. INVESTIMENTO FROTA'!F242:K242*0.2))),0)</f>
        <v>0</v>
      </c>
      <c r="L38" s="155">
        <f>IFERROR(SUMPRODUCT(('7. INVESTIMENTO FROTA'!G$186:L$186&gt;'8. DEPRECIAÇÃO DE FROTA'!L$11-5)*(('7. INVESTIMENTO FROTA'!G242:L242*0.2))),0)</f>
        <v>0</v>
      </c>
      <c r="M38" s="155">
        <f>IFERROR(SUMPRODUCT(('7. INVESTIMENTO FROTA'!H$186:M$186&gt;'8. DEPRECIAÇÃO DE FROTA'!M$11-5)*(('7. INVESTIMENTO FROTA'!H242:M242*0.2))),0)</f>
        <v>0</v>
      </c>
      <c r="N38" s="155">
        <f>IFERROR(SUMPRODUCT(('7. INVESTIMENTO FROTA'!I$186:N$186&gt;'8. DEPRECIAÇÃO DE FROTA'!N$11-5)*(('7. INVESTIMENTO FROTA'!I242:N242*0.2))),0)</f>
        <v>0</v>
      </c>
      <c r="O38" s="155">
        <f>IFERROR(SUMPRODUCT(('7. INVESTIMENTO FROTA'!J$186:O$186&gt;'8. DEPRECIAÇÃO DE FROTA'!O$11-5)*(('7. INVESTIMENTO FROTA'!J242:O242*0.2))),0)</f>
        <v>0</v>
      </c>
      <c r="P38" s="155">
        <f>IFERROR(SUMPRODUCT(('7. INVESTIMENTO FROTA'!K$186:P$186&gt;'8. DEPRECIAÇÃO DE FROTA'!P$11-5)*(('7. INVESTIMENTO FROTA'!K242:P242*0.2))),0)</f>
        <v>0</v>
      </c>
      <c r="Q38" s="155">
        <f>IFERROR(SUMPRODUCT(('7. INVESTIMENTO FROTA'!L$186:Q$186&gt;'8. DEPRECIAÇÃO DE FROTA'!Q$11-5)*(('7. INVESTIMENTO FROTA'!L242:Q242*0.2))),0)</f>
        <v>0</v>
      </c>
      <c r="R38" s="155">
        <f>IFERROR(SUMPRODUCT(('7. INVESTIMENTO FROTA'!M$186:R$186&gt;'8. DEPRECIAÇÃO DE FROTA'!R$11-5)*(('7. INVESTIMENTO FROTA'!M242:R242*0.2))),0)</f>
        <v>0</v>
      </c>
      <c r="S38" s="155">
        <f>IFERROR(SUMPRODUCT(('7. INVESTIMENTO FROTA'!N$186:S$186&gt;'8. DEPRECIAÇÃO DE FROTA'!S$11-5)*(('7. INVESTIMENTO FROTA'!N242:S242*0.2))),0)</f>
        <v>0</v>
      </c>
      <c r="T38" s="156">
        <f>IFERROR(SUMPRODUCT(('7. INVESTIMENTO FROTA'!O$186:T$186&gt;'8. DEPRECIAÇÃO DE FROTA'!T$11-5)*(('7. INVESTIMENTO FROTA'!O242:T242*0.2))),0)</f>
        <v>0</v>
      </c>
    </row>
    <row r="39" spans="1:20">
      <c r="C39" s="111" t="s">
        <v>88</v>
      </c>
      <c r="D39" s="112"/>
      <c r="E39" s="157">
        <f t="shared" ref="E39:T39" si="3">SUM(E28:E38)</f>
        <v>0</v>
      </c>
      <c r="F39" s="157">
        <f t="shared" si="3"/>
        <v>187501.55000000002</v>
      </c>
      <c r="G39" s="157">
        <f t="shared" si="3"/>
        <v>412503.41000000003</v>
      </c>
      <c r="H39" s="157">
        <f t="shared" si="3"/>
        <v>562504.65</v>
      </c>
      <c r="I39" s="157">
        <f t="shared" si="3"/>
        <v>712505.89</v>
      </c>
      <c r="J39" s="157">
        <f t="shared" si="3"/>
        <v>937507.75</v>
      </c>
      <c r="K39" s="157">
        <f t="shared" si="3"/>
        <v>750006.2</v>
      </c>
      <c r="L39" s="157">
        <f t="shared" si="3"/>
        <v>525004.34</v>
      </c>
      <c r="M39" s="157">
        <f t="shared" si="3"/>
        <v>375003.1</v>
      </c>
      <c r="N39" s="157">
        <f t="shared" si="3"/>
        <v>300002.48</v>
      </c>
      <c r="O39" s="157">
        <f t="shared" si="3"/>
        <v>150001.24</v>
      </c>
      <c r="P39" s="157">
        <f t="shared" si="3"/>
        <v>375003.1</v>
      </c>
      <c r="Q39" s="157">
        <f t="shared" si="3"/>
        <v>525004.34</v>
      </c>
      <c r="R39" s="157">
        <f t="shared" si="3"/>
        <v>750006.2</v>
      </c>
      <c r="S39" s="157">
        <f t="shared" si="3"/>
        <v>675005.58</v>
      </c>
      <c r="T39" s="158">
        <f t="shared" si="3"/>
        <v>600004.96</v>
      </c>
    </row>
    <row r="41" spans="1:20" ht="15.75">
      <c r="A41" s="2">
        <v>3</v>
      </c>
      <c r="C41" s="718" t="str">
        <f>"8.3 - "&amp;VLOOKUP(A41,TIPOLOGIA!$D$10:$E$12,2,0)</f>
        <v>8.3 - -</v>
      </c>
      <c r="D41" s="718"/>
      <c r="E41" s="718"/>
      <c r="F41" s="718"/>
    </row>
    <row r="42" spans="1:20">
      <c r="C42" s="309"/>
      <c r="D42" s="309"/>
      <c r="E42" s="309"/>
      <c r="F42" s="309"/>
    </row>
    <row r="43" spans="1:20" ht="18" customHeight="1">
      <c r="C43" s="705" t="s">
        <v>111</v>
      </c>
      <c r="D43" s="719"/>
      <c r="E43" s="105" t="s">
        <v>99</v>
      </c>
      <c r="F43" s="106">
        <v>1</v>
      </c>
      <c r="G43" s="106">
        <f t="shared" ref="G43:T43" si="4">+F43+1</f>
        <v>2</v>
      </c>
      <c r="H43" s="106">
        <f t="shared" si="4"/>
        <v>3</v>
      </c>
      <c r="I43" s="106">
        <f t="shared" si="4"/>
        <v>4</v>
      </c>
      <c r="J43" s="106">
        <f t="shared" si="4"/>
        <v>5</v>
      </c>
      <c r="K43" s="106">
        <f t="shared" si="4"/>
        <v>6</v>
      </c>
      <c r="L43" s="106">
        <f t="shared" si="4"/>
        <v>7</v>
      </c>
      <c r="M43" s="106">
        <f t="shared" si="4"/>
        <v>8</v>
      </c>
      <c r="N43" s="106">
        <f t="shared" si="4"/>
        <v>9</v>
      </c>
      <c r="O43" s="106">
        <f t="shared" si="4"/>
        <v>10</v>
      </c>
      <c r="P43" s="106">
        <f t="shared" si="4"/>
        <v>11</v>
      </c>
      <c r="Q43" s="106">
        <f t="shared" si="4"/>
        <v>12</v>
      </c>
      <c r="R43" s="106">
        <f t="shared" si="4"/>
        <v>13</v>
      </c>
      <c r="S43" s="106">
        <f t="shared" si="4"/>
        <v>14</v>
      </c>
      <c r="T43" s="107">
        <f t="shared" si="4"/>
        <v>15</v>
      </c>
    </row>
    <row r="44" spans="1:20">
      <c r="C44" s="110">
        <v>0</v>
      </c>
      <c r="D44" s="108" t="s">
        <v>87</v>
      </c>
      <c r="E44" s="155"/>
      <c r="F44" s="155">
        <f>SUMPRODUCT(('7. INVESTIMENTO FROTA'!$E$246:F$246&gt;F$43-5)*(('7. INVESTIMENTO FROTA'!$E262:F262*0.2)))</f>
        <v>0</v>
      </c>
      <c r="G44" s="155">
        <f>SUMPRODUCT(('7. INVESTIMENTO FROTA'!$E$246:G$246&gt;G$43-5)*(('7. INVESTIMENTO FROTA'!$E262:G262*0.2)))</f>
        <v>0</v>
      </c>
      <c r="H44" s="155">
        <f>SUMPRODUCT(('7. INVESTIMENTO FROTA'!$E$246:H$246&gt;H$43-5)*(('7. INVESTIMENTO FROTA'!$E262:H262*0.2)))</f>
        <v>0</v>
      </c>
      <c r="I44" s="155">
        <f>SUMPRODUCT(('7. INVESTIMENTO FROTA'!$E$246:I$246&gt;I$43-5)*(('7. INVESTIMENTO FROTA'!$E262:I262*0.2)))</f>
        <v>0</v>
      </c>
      <c r="J44" s="155">
        <f>SUMPRODUCT(('7. INVESTIMENTO FROTA'!$E$246:J$246&gt;J$43-5)*(('7. INVESTIMENTO FROTA'!$E262:J262*0.2)))</f>
        <v>0</v>
      </c>
      <c r="K44" s="155">
        <f>IFERROR(SUMPRODUCT(('7. INVESTIMENTO FROTA'!F$186:K$186&gt;'8. DEPRECIAÇÃO DE FROTA'!K$11-5)*(('7. INVESTIMENTO FROTA'!F262:K262*0.2))),0)</f>
        <v>0</v>
      </c>
      <c r="L44" s="155">
        <f>IFERROR(SUMPRODUCT(('7. INVESTIMENTO FROTA'!G$186:L$186&gt;'8. DEPRECIAÇÃO DE FROTA'!L$11-5)*(('7. INVESTIMENTO FROTA'!G262:L262*0.2))),0)</f>
        <v>0</v>
      </c>
      <c r="M44" s="155">
        <f>IFERROR(SUMPRODUCT(('7. INVESTIMENTO FROTA'!H$186:M$186&gt;'8. DEPRECIAÇÃO DE FROTA'!M$11-5)*(('7. INVESTIMENTO FROTA'!H262:M262*0.2))),0)</f>
        <v>0</v>
      </c>
      <c r="N44" s="155">
        <f>IFERROR(SUMPRODUCT(('7. INVESTIMENTO FROTA'!I$186:N$186&gt;'8. DEPRECIAÇÃO DE FROTA'!N$11-5)*(('7. INVESTIMENTO FROTA'!I262:N262*0.2))),0)</f>
        <v>0</v>
      </c>
      <c r="O44" s="155">
        <f>IFERROR(SUMPRODUCT(('7. INVESTIMENTO FROTA'!J$186:O$186&gt;'8. DEPRECIAÇÃO DE FROTA'!O$11-5)*(('7. INVESTIMENTO FROTA'!J262:O262*0.2))),0)</f>
        <v>0</v>
      </c>
      <c r="P44" s="155">
        <f>IFERROR(SUMPRODUCT(('7. INVESTIMENTO FROTA'!K$186:P$186&gt;'8. DEPRECIAÇÃO DE FROTA'!P$11-5)*(('7. INVESTIMENTO FROTA'!K262:P262*0.2))),0)</f>
        <v>0</v>
      </c>
      <c r="Q44" s="155">
        <f>IFERROR(SUMPRODUCT(('7. INVESTIMENTO FROTA'!L$186:Q$186&gt;'8. DEPRECIAÇÃO DE FROTA'!Q$11-5)*(('7. INVESTIMENTO FROTA'!L262:Q262*0.2))),0)</f>
        <v>0</v>
      </c>
      <c r="R44" s="155">
        <f>IFERROR(SUMPRODUCT(('7. INVESTIMENTO FROTA'!M$186:R$186&gt;'8. DEPRECIAÇÃO DE FROTA'!R$11-5)*(('7. INVESTIMENTO FROTA'!M262:R262*0.2))),0)</f>
        <v>0</v>
      </c>
      <c r="S44" s="155">
        <f>IFERROR(SUMPRODUCT(('7. INVESTIMENTO FROTA'!N$186:S$186&gt;'8. DEPRECIAÇÃO DE FROTA'!S$11-5)*(('7. INVESTIMENTO FROTA'!N262:S262*0.2))),0)</f>
        <v>0</v>
      </c>
      <c r="T44" s="156">
        <f>IFERROR(SUMPRODUCT(('7. INVESTIMENTO FROTA'!O$186:T$186&gt;'8. DEPRECIAÇÃO DE FROTA'!T$11-5)*(('7. INVESTIMENTO FROTA'!O262:T262*0.2))),0)</f>
        <v>0</v>
      </c>
    </row>
    <row r="45" spans="1:20">
      <c r="C45" s="110">
        <v>1</v>
      </c>
      <c r="D45" s="108" t="s">
        <v>89</v>
      </c>
      <c r="E45" s="155"/>
      <c r="F45" s="155">
        <f>SUMPRODUCT(('7. INVESTIMENTO FROTA'!$E$246:F$246&gt;F$43-5)*(('7. INVESTIMENTO FROTA'!$E263:F263*0.2)))</f>
        <v>0</v>
      </c>
      <c r="G45" s="155">
        <f>SUMPRODUCT(('7. INVESTIMENTO FROTA'!$E$246:G$246&gt;G$43-5)*(('7. INVESTIMENTO FROTA'!$E263:G263*0.2)))</f>
        <v>0</v>
      </c>
      <c r="H45" s="155">
        <f>SUMPRODUCT(('7. INVESTIMENTO FROTA'!$E$246:H$246&gt;H$43-5)*(('7. INVESTIMENTO FROTA'!$E263:H263*0.2)))</f>
        <v>0</v>
      </c>
      <c r="I45" s="155">
        <f>SUMPRODUCT(('7. INVESTIMENTO FROTA'!$E$246:I$246&gt;I$43-5)*(('7. INVESTIMENTO FROTA'!$E263:I263*0.2)))</f>
        <v>0</v>
      </c>
      <c r="J45" s="155">
        <f>SUMPRODUCT(('7. INVESTIMENTO FROTA'!$E$246:J$246&gt;J$43-5)*(('7. INVESTIMENTO FROTA'!$E263:J263*0.2)))</f>
        <v>0</v>
      </c>
      <c r="K45" s="155">
        <f>IFERROR(SUMPRODUCT(('7. INVESTIMENTO FROTA'!F$186:K$186&gt;'8. DEPRECIAÇÃO DE FROTA'!K$11-5)*(('7. INVESTIMENTO FROTA'!F263:K263*0.2))),0)</f>
        <v>0</v>
      </c>
      <c r="L45" s="155">
        <f>IFERROR(SUMPRODUCT(('7. INVESTIMENTO FROTA'!G$186:L$186&gt;'8. DEPRECIAÇÃO DE FROTA'!L$11-5)*(('7. INVESTIMENTO FROTA'!G263:L263*0.2))),0)</f>
        <v>0</v>
      </c>
      <c r="M45" s="155">
        <f>IFERROR(SUMPRODUCT(('7. INVESTIMENTO FROTA'!H$186:M$186&gt;'8. DEPRECIAÇÃO DE FROTA'!M$11-5)*(('7. INVESTIMENTO FROTA'!H263:M263*0.2))),0)</f>
        <v>0</v>
      </c>
      <c r="N45" s="155">
        <f>IFERROR(SUMPRODUCT(('7. INVESTIMENTO FROTA'!I$186:N$186&gt;'8. DEPRECIAÇÃO DE FROTA'!N$11-5)*(('7. INVESTIMENTO FROTA'!I263:N263*0.2))),0)</f>
        <v>0</v>
      </c>
      <c r="O45" s="155">
        <f>IFERROR(SUMPRODUCT(('7. INVESTIMENTO FROTA'!J$186:O$186&gt;'8. DEPRECIAÇÃO DE FROTA'!O$11-5)*(('7. INVESTIMENTO FROTA'!J263:O263*0.2))),0)</f>
        <v>0</v>
      </c>
      <c r="P45" s="155">
        <f>IFERROR(SUMPRODUCT(('7. INVESTIMENTO FROTA'!K$186:P$186&gt;'8. DEPRECIAÇÃO DE FROTA'!P$11-5)*(('7. INVESTIMENTO FROTA'!K263:P263*0.2))),0)</f>
        <v>0</v>
      </c>
      <c r="Q45" s="155">
        <f>IFERROR(SUMPRODUCT(('7. INVESTIMENTO FROTA'!L$186:Q$186&gt;'8. DEPRECIAÇÃO DE FROTA'!Q$11-5)*(('7. INVESTIMENTO FROTA'!L263:Q263*0.2))),0)</f>
        <v>0</v>
      </c>
      <c r="R45" s="155">
        <f>IFERROR(SUMPRODUCT(('7. INVESTIMENTO FROTA'!M$186:R$186&gt;'8. DEPRECIAÇÃO DE FROTA'!R$11-5)*(('7. INVESTIMENTO FROTA'!M263:R263*0.2))),0)</f>
        <v>0</v>
      </c>
      <c r="S45" s="155">
        <f>IFERROR(SUMPRODUCT(('7. INVESTIMENTO FROTA'!N$186:S$186&gt;'8. DEPRECIAÇÃO DE FROTA'!S$11-5)*(('7. INVESTIMENTO FROTA'!N263:S263*0.2))),0)</f>
        <v>0</v>
      </c>
      <c r="T45" s="156">
        <f>IFERROR(SUMPRODUCT(('7. INVESTIMENTO FROTA'!O$186:T$186&gt;'8. DEPRECIAÇÃO DE FROTA'!T$11-5)*(('7. INVESTIMENTO FROTA'!O263:T263*0.2))),0)</f>
        <v>0</v>
      </c>
    </row>
    <row r="46" spans="1:20">
      <c r="C46" s="110">
        <v>2</v>
      </c>
      <c r="D46" s="108" t="s">
        <v>90</v>
      </c>
      <c r="E46" s="155"/>
      <c r="F46" s="155">
        <f>SUMPRODUCT(('7. INVESTIMENTO FROTA'!$E$246:F$246&gt;F$43-5)*(('7. INVESTIMENTO FROTA'!$E264:F264*0.2)))</f>
        <v>0</v>
      </c>
      <c r="G46" s="155">
        <f>SUMPRODUCT(('7. INVESTIMENTO FROTA'!$E$246:G$246&gt;G$43-5)*(('7. INVESTIMENTO FROTA'!$E264:G264*0.2)))</f>
        <v>0</v>
      </c>
      <c r="H46" s="155">
        <f>SUMPRODUCT(('7. INVESTIMENTO FROTA'!$E$246:H$246&gt;H$43-5)*(('7. INVESTIMENTO FROTA'!$E264:H264*0.2)))</f>
        <v>0</v>
      </c>
      <c r="I46" s="155">
        <f>SUMPRODUCT(('7. INVESTIMENTO FROTA'!$E$246:I$246&gt;I$43-5)*(('7. INVESTIMENTO FROTA'!$E264:I264*0.2)))</f>
        <v>0</v>
      </c>
      <c r="J46" s="155">
        <f>SUMPRODUCT(('7. INVESTIMENTO FROTA'!$E$246:J$246&gt;J$43-5)*(('7. INVESTIMENTO FROTA'!$E264:J264*0.2)))</f>
        <v>0</v>
      </c>
      <c r="K46" s="155">
        <f>IFERROR(SUMPRODUCT(('7. INVESTIMENTO FROTA'!F$186:K$186&gt;'8. DEPRECIAÇÃO DE FROTA'!K$11-5)*(('7. INVESTIMENTO FROTA'!F264:K264*0.2))),0)</f>
        <v>0</v>
      </c>
      <c r="L46" s="155">
        <f>IFERROR(SUMPRODUCT(('7. INVESTIMENTO FROTA'!G$186:L$186&gt;'8. DEPRECIAÇÃO DE FROTA'!L$11-5)*(('7. INVESTIMENTO FROTA'!G264:L264*0.2))),0)</f>
        <v>0</v>
      </c>
      <c r="M46" s="155">
        <f>IFERROR(SUMPRODUCT(('7. INVESTIMENTO FROTA'!H$186:M$186&gt;'8. DEPRECIAÇÃO DE FROTA'!M$11-5)*(('7. INVESTIMENTO FROTA'!H264:M264*0.2))),0)</f>
        <v>0</v>
      </c>
      <c r="N46" s="155">
        <f>IFERROR(SUMPRODUCT(('7. INVESTIMENTO FROTA'!I$186:N$186&gt;'8. DEPRECIAÇÃO DE FROTA'!N$11-5)*(('7. INVESTIMENTO FROTA'!I264:N264*0.2))),0)</f>
        <v>0</v>
      </c>
      <c r="O46" s="155">
        <f>IFERROR(SUMPRODUCT(('7. INVESTIMENTO FROTA'!J$186:O$186&gt;'8. DEPRECIAÇÃO DE FROTA'!O$11-5)*(('7. INVESTIMENTO FROTA'!J264:O264*0.2))),0)</f>
        <v>0</v>
      </c>
      <c r="P46" s="155">
        <f>IFERROR(SUMPRODUCT(('7. INVESTIMENTO FROTA'!K$186:P$186&gt;'8. DEPRECIAÇÃO DE FROTA'!P$11-5)*(('7. INVESTIMENTO FROTA'!K264:P264*0.2))),0)</f>
        <v>0</v>
      </c>
      <c r="Q46" s="155">
        <f>IFERROR(SUMPRODUCT(('7. INVESTIMENTO FROTA'!L$186:Q$186&gt;'8. DEPRECIAÇÃO DE FROTA'!Q$11-5)*(('7. INVESTIMENTO FROTA'!L264:Q264*0.2))),0)</f>
        <v>0</v>
      </c>
      <c r="R46" s="155">
        <f>IFERROR(SUMPRODUCT(('7. INVESTIMENTO FROTA'!M$186:R$186&gt;'8. DEPRECIAÇÃO DE FROTA'!R$11-5)*(('7. INVESTIMENTO FROTA'!M264:R264*0.2))),0)</f>
        <v>0</v>
      </c>
      <c r="S46" s="155">
        <f>IFERROR(SUMPRODUCT(('7. INVESTIMENTO FROTA'!N$186:S$186&gt;'8. DEPRECIAÇÃO DE FROTA'!S$11-5)*(('7. INVESTIMENTO FROTA'!N264:S264*0.2))),0)</f>
        <v>0</v>
      </c>
      <c r="T46" s="156">
        <f>IFERROR(SUMPRODUCT(('7. INVESTIMENTO FROTA'!O$186:T$186&gt;'8. DEPRECIAÇÃO DE FROTA'!T$11-5)*(('7. INVESTIMENTO FROTA'!O264:T264*0.2))),0)</f>
        <v>0</v>
      </c>
    </row>
    <row r="47" spans="1:20">
      <c r="C47" s="110">
        <v>3</v>
      </c>
      <c r="D47" s="108" t="s">
        <v>91</v>
      </c>
      <c r="E47" s="155"/>
      <c r="F47" s="155">
        <f>SUMPRODUCT(('7. INVESTIMENTO FROTA'!$E$246:F$246&gt;F$43-5)*(('7. INVESTIMENTO FROTA'!$E265:F265*0.2)))</f>
        <v>0</v>
      </c>
      <c r="G47" s="155">
        <f>SUMPRODUCT(('7. INVESTIMENTO FROTA'!$E$246:G$246&gt;G$43-5)*(('7. INVESTIMENTO FROTA'!$E265:G265*0.2)))</f>
        <v>0</v>
      </c>
      <c r="H47" s="155">
        <f>SUMPRODUCT(('7. INVESTIMENTO FROTA'!$E$246:H$246&gt;H$43-5)*(('7. INVESTIMENTO FROTA'!$E265:H265*0.2)))</f>
        <v>0</v>
      </c>
      <c r="I47" s="155">
        <f>SUMPRODUCT(('7. INVESTIMENTO FROTA'!$E$246:I$246&gt;I$43-5)*(('7. INVESTIMENTO FROTA'!$E265:I265*0.2)))</f>
        <v>0</v>
      </c>
      <c r="J47" s="155">
        <f>SUMPRODUCT(('7. INVESTIMENTO FROTA'!$E$246:J$246&gt;J$43-5)*(('7. INVESTIMENTO FROTA'!$E265:J265*0.2)))</f>
        <v>0</v>
      </c>
      <c r="K47" s="155">
        <f>IFERROR(SUMPRODUCT(('7. INVESTIMENTO FROTA'!F$186:K$186&gt;'8. DEPRECIAÇÃO DE FROTA'!K$11-5)*(('7. INVESTIMENTO FROTA'!F265:K265*0.2))),0)</f>
        <v>0</v>
      </c>
      <c r="L47" s="155">
        <f>IFERROR(SUMPRODUCT(('7. INVESTIMENTO FROTA'!G$186:L$186&gt;'8. DEPRECIAÇÃO DE FROTA'!L$11-5)*(('7. INVESTIMENTO FROTA'!G265:L265*0.2))),0)</f>
        <v>0</v>
      </c>
      <c r="M47" s="155">
        <f>IFERROR(SUMPRODUCT(('7. INVESTIMENTO FROTA'!H$186:M$186&gt;'8. DEPRECIAÇÃO DE FROTA'!M$11-5)*(('7. INVESTIMENTO FROTA'!H265:M265*0.2))),0)</f>
        <v>0</v>
      </c>
      <c r="N47" s="155">
        <f>IFERROR(SUMPRODUCT(('7. INVESTIMENTO FROTA'!I$186:N$186&gt;'8. DEPRECIAÇÃO DE FROTA'!N$11-5)*(('7. INVESTIMENTO FROTA'!I265:N265*0.2))),0)</f>
        <v>0</v>
      </c>
      <c r="O47" s="155">
        <f>IFERROR(SUMPRODUCT(('7. INVESTIMENTO FROTA'!J$186:O$186&gt;'8. DEPRECIAÇÃO DE FROTA'!O$11-5)*(('7. INVESTIMENTO FROTA'!J265:O265*0.2))),0)</f>
        <v>0</v>
      </c>
      <c r="P47" s="155">
        <f>IFERROR(SUMPRODUCT(('7. INVESTIMENTO FROTA'!K$186:P$186&gt;'8. DEPRECIAÇÃO DE FROTA'!P$11-5)*(('7. INVESTIMENTO FROTA'!K265:P265*0.2))),0)</f>
        <v>0</v>
      </c>
      <c r="Q47" s="155">
        <f>IFERROR(SUMPRODUCT(('7. INVESTIMENTO FROTA'!L$186:Q$186&gt;'8. DEPRECIAÇÃO DE FROTA'!Q$11-5)*(('7. INVESTIMENTO FROTA'!L265:Q265*0.2))),0)</f>
        <v>0</v>
      </c>
      <c r="R47" s="155">
        <f>IFERROR(SUMPRODUCT(('7. INVESTIMENTO FROTA'!M$186:R$186&gt;'8. DEPRECIAÇÃO DE FROTA'!R$11-5)*(('7. INVESTIMENTO FROTA'!M265:R265*0.2))),0)</f>
        <v>0</v>
      </c>
      <c r="S47" s="155">
        <f>IFERROR(SUMPRODUCT(('7. INVESTIMENTO FROTA'!N$186:S$186&gt;'8. DEPRECIAÇÃO DE FROTA'!S$11-5)*(('7. INVESTIMENTO FROTA'!N265:S265*0.2))),0)</f>
        <v>0</v>
      </c>
      <c r="T47" s="156">
        <f>IFERROR(SUMPRODUCT(('7. INVESTIMENTO FROTA'!O$186:T$186&gt;'8. DEPRECIAÇÃO DE FROTA'!T$11-5)*(('7. INVESTIMENTO FROTA'!O265:T265*0.2))),0)</f>
        <v>0</v>
      </c>
    </row>
    <row r="48" spans="1:20">
      <c r="C48" s="110">
        <v>4</v>
      </c>
      <c r="D48" s="108" t="s">
        <v>92</v>
      </c>
      <c r="E48" s="155"/>
      <c r="F48" s="155">
        <f>SUMPRODUCT(('7. INVESTIMENTO FROTA'!$E$246:F$246&gt;F$43-5)*(('7. INVESTIMENTO FROTA'!$E266:F266*0.2)))</f>
        <v>0</v>
      </c>
      <c r="G48" s="155">
        <f>SUMPRODUCT(('7. INVESTIMENTO FROTA'!$E$246:G$246&gt;G$43-5)*(('7. INVESTIMENTO FROTA'!$E266:G266*0.2)))</f>
        <v>0</v>
      </c>
      <c r="H48" s="155">
        <f>SUMPRODUCT(('7. INVESTIMENTO FROTA'!$E$246:H$246&gt;H$43-5)*(('7. INVESTIMENTO FROTA'!$E266:H266*0.2)))</f>
        <v>0</v>
      </c>
      <c r="I48" s="155">
        <f>SUMPRODUCT(('7. INVESTIMENTO FROTA'!$E$246:I$246&gt;I$43-5)*(('7. INVESTIMENTO FROTA'!$E266:I266*0.2)))</f>
        <v>0</v>
      </c>
      <c r="J48" s="155">
        <f>SUMPRODUCT(('7. INVESTIMENTO FROTA'!$E$246:J$246&gt;J$43-5)*(('7. INVESTIMENTO FROTA'!$E266:J266*0.2)))</f>
        <v>0</v>
      </c>
      <c r="K48" s="155">
        <f>IFERROR(SUMPRODUCT(('7. INVESTIMENTO FROTA'!F$186:K$186&gt;'8. DEPRECIAÇÃO DE FROTA'!K$11-5)*(('7. INVESTIMENTO FROTA'!F266:K266*0.2))),0)</f>
        <v>0</v>
      </c>
      <c r="L48" s="155">
        <f>IFERROR(SUMPRODUCT(('7. INVESTIMENTO FROTA'!G$186:L$186&gt;'8. DEPRECIAÇÃO DE FROTA'!L$11-5)*(('7. INVESTIMENTO FROTA'!G266:L266*0.2))),0)</f>
        <v>0</v>
      </c>
      <c r="M48" s="155">
        <f>IFERROR(SUMPRODUCT(('7. INVESTIMENTO FROTA'!H$186:M$186&gt;'8. DEPRECIAÇÃO DE FROTA'!M$11-5)*(('7. INVESTIMENTO FROTA'!H266:M266*0.2))),0)</f>
        <v>0</v>
      </c>
      <c r="N48" s="155">
        <f>IFERROR(SUMPRODUCT(('7. INVESTIMENTO FROTA'!I$186:N$186&gt;'8. DEPRECIAÇÃO DE FROTA'!N$11-5)*(('7. INVESTIMENTO FROTA'!I266:N266*0.2))),0)</f>
        <v>0</v>
      </c>
      <c r="O48" s="155">
        <f>IFERROR(SUMPRODUCT(('7. INVESTIMENTO FROTA'!J$186:O$186&gt;'8. DEPRECIAÇÃO DE FROTA'!O$11-5)*(('7. INVESTIMENTO FROTA'!J266:O266*0.2))),0)</f>
        <v>0</v>
      </c>
      <c r="P48" s="155">
        <f>IFERROR(SUMPRODUCT(('7. INVESTIMENTO FROTA'!K$186:P$186&gt;'8. DEPRECIAÇÃO DE FROTA'!P$11-5)*(('7. INVESTIMENTO FROTA'!K266:P266*0.2))),0)</f>
        <v>0</v>
      </c>
      <c r="Q48" s="155">
        <f>IFERROR(SUMPRODUCT(('7. INVESTIMENTO FROTA'!L$186:Q$186&gt;'8. DEPRECIAÇÃO DE FROTA'!Q$11-5)*(('7. INVESTIMENTO FROTA'!L266:Q266*0.2))),0)</f>
        <v>0</v>
      </c>
      <c r="R48" s="155">
        <f>IFERROR(SUMPRODUCT(('7. INVESTIMENTO FROTA'!M$186:R$186&gt;'8. DEPRECIAÇÃO DE FROTA'!R$11-5)*(('7. INVESTIMENTO FROTA'!M266:R266*0.2))),0)</f>
        <v>0</v>
      </c>
      <c r="S48" s="155">
        <f>IFERROR(SUMPRODUCT(('7. INVESTIMENTO FROTA'!N$186:S$186&gt;'8. DEPRECIAÇÃO DE FROTA'!S$11-5)*(('7. INVESTIMENTO FROTA'!N266:S266*0.2))),0)</f>
        <v>0</v>
      </c>
      <c r="T48" s="156">
        <f>IFERROR(SUMPRODUCT(('7. INVESTIMENTO FROTA'!O$186:T$186&gt;'8. DEPRECIAÇÃO DE FROTA'!T$11-5)*(('7. INVESTIMENTO FROTA'!O266:T266*0.2))),0)</f>
        <v>0</v>
      </c>
    </row>
    <row r="49" spans="1:20">
      <c r="C49" s="110">
        <v>5</v>
      </c>
      <c r="D49" s="108" t="s">
        <v>93</v>
      </c>
      <c r="E49" s="155"/>
      <c r="F49" s="155">
        <f>SUMPRODUCT(('7. INVESTIMENTO FROTA'!$E$246:F$246&gt;F$43-5)*(('7. INVESTIMENTO FROTA'!$E267:F267*0.2)))</f>
        <v>0</v>
      </c>
      <c r="G49" s="155">
        <f>SUMPRODUCT(('7. INVESTIMENTO FROTA'!$E$246:G$246&gt;G$43-5)*(('7. INVESTIMENTO FROTA'!$E267:G267*0.2)))</f>
        <v>0</v>
      </c>
      <c r="H49" s="155">
        <f>SUMPRODUCT(('7. INVESTIMENTO FROTA'!$E$246:H$246&gt;H$43-5)*(('7. INVESTIMENTO FROTA'!$E267:H267*0.2)))</f>
        <v>0</v>
      </c>
      <c r="I49" s="155">
        <f>SUMPRODUCT(('7. INVESTIMENTO FROTA'!$E$246:I$246&gt;I$43-5)*(('7. INVESTIMENTO FROTA'!$E267:I267*0.2)))</f>
        <v>0</v>
      </c>
      <c r="J49" s="155">
        <f>SUMPRODUCT(('7. INVESTIMENTO FROTA'!$E$246:J$246&gt;J$43-5)*(('7. INVESTIMENTO FROTA'!$E267:J267*0.2)))</f>
        <v>0</v>
      </c>
      <c r="K49" s="155">
        <f>IFERROR(SUMPRODUCT(('7. INVESTIMENTO FROTA'!F$186:K$186&gt;'8. DEPRECIAÇÃO DE FROTA'!K$11-5)*(('7. INVESTIMENTO FROTA'!F267:K267*0.2))),0)</f>
        <v>0</v>
      </c>
      <c r="L49" s="155">
        <f>IFERROR(SUMPRODUCT(('7. INVESTIMENTO FROTA'!G$186:L$186&gt;'8. DEPRECIAÇÃO DE FROTA'!L$11-5)*(('7. INVESTIMENTO FROTA'!G267:L267*0.2))),0)</f>
        <v>0</v>
      </c>
      <c r="M49" s="155">
        <f>IFERROR(SUMPRODUCT(('7. INVESTIMENTO FROTA'!H$186:M$186&gt;'8. DEPRECIAÇÃO DE FROTA'!M$11-5)*(('7. INVESTIMENTO FROTA'!H267:M267*0.2))),0)</f>
        <v>0</v>
      </c>
      <c r="N49" s="155">
        <f>IFERROR(SUMPRODUCT(('7. INVESTIMENTO FROTA'!I$186:N$186&gt;'8. DEPRECIAÇÃO DE FROTA'!N$11-5)*(('7. INVESTIMENTO FROTA'!I267:N267*0.2))),0)</f>
        <v>0</v>
      </c>
      <c r="O49" s="155">
        <f>IFERROR(SUMPRODUCT(('7. INVESTIMENTO FROTA'!J$186:O$186&gt;'8. DEPRECIAÇÃO DE FROTA'!O$11-5)*(('7. INVESTIMENTO FROTA'!J267:O267*0.2))),0)</f>
        <v>0</v>
      </c>
      <c r="P49" s="155">
        <f>IFERROR(SUMPRODUCT(('7. INVESTIMENTO FROTA'!K$186:P$186&gt;'8. DEPRECIAÇÃO DE FROTA'!P$11-5)*(('7. INVESTIMENTO FROTA'!K267:P267*0.2))),0)</f>
        <v>0</v>
      </c>
      <c r="Q49" s="155">
        <f>IFERROR(SUMPRODUCT(('7. INVESTIMENTO FROTA'!L$186:Q$186&gt;'8. DEPRECIAÇÃO DE FROTA'!Q$11-5)*(('7. INVESTIMENTO FROTA'!L267:Q267*0.2))),0)</f>
        <v>0</v>
      </c>
      <c r="R49" s="155">
        <f>IFERROR(SUMPRODUCT(('7. INVESTIMENTO FROTA'!M$186:R$186&gt;'8. DEPRECIAÇÃO DE FROTA'!R$11-5)*(('7. INVESTIMENTO FROTA'!M267:R267*0.2))),0)</f>
        <v>0</v>
      </c>
      <c r="S49" s="155">
        <f>IFERROR(SUMPRODUCT(('7. INVESTIMENTO FROTA'!N$186:S$186&gt;'8. DEPRECIAÇÃO DE FROTA'!S$11-5)*(('7. INVESTIMENTO FROTA'!N267:S267*0.2))),0)</f>
        <v>0</v>
      </c>
      <c r="T49" s="156">
        <f>IFERROR(SUMPRODUCT(('7. INVESTIMENTO FROTA'!O$186:T$186&gt;'8. DEPRECIAÇÃO DE FROTA'!T$11-5)*(('7. INVESTIMENTO FROTA'!O267:T267*0.2))),0)</f>
        <v>0</v>
      </c>
    </row>
    <row r="50" spans="1:20">
      <c r="C50" s="110">
        <v>6</v>
      </c>
      <c r="D50" s="108" t="s">
        <v>94</v>
      </c>
      <c r="E50" s="155"/>
      <c r="F50" s="155">
        <f>SUMPRODUCT(('7. INVESTIMENTO FROTA'!$E$246:F$246&gt;F$43-5)*(('7. INVESTIMENTO FROTA'!$E268:F268*0.2)))</f>
        <v>0</v>
      </c>
      <c r="G50" s="155">
        <f>SUMPRODUCT(('7. INVESTIMENTO FROTA'!$E$246:G$246&gt;G$43-5)*(('7. INVESTIMENTO FROTA'!$E268:G268*0.2)))</f>
        <v>0</v>
      </c>
      <c r="H50" s="155">
        <f>SUMPRODUCT(('7. INVESTIMENTO FROTA'!$E$246:H$246&gt;H$43-5)*(('7. INVESTIMENTO FROTA'!$E268:H268*0.2)))</f>
        <v>0</v>
      </c>
      <c r="I50" s="155">
        <f>SUMPRODUCT(('7. INVESTIMENTO FROTA'!$E$246:I$246&gt;I$43-5)*(('7. INVESTIMENTO FROTA'!$E268:I268*0.2)))</f>
        <v>0</v>
      </c>
      <c r="J50" s="155">
        <f>SUMPRODUCT(('7. INVESTIMENTO FROTA'!$E$246:J$246&gt;J$43-5)*(('7. INVESTIMENTO FROTA'!$E268:J268*0.2)))</f>
        <v>0</v>
      </c>
      <c r="K50" s="155">
        <f>IFERROR(SUMPRODUCT(('7. INVESTIMENTO FROTA'!F$186:K$186&gt;'8. DEPRECIAÇÃO DE FROTA'!K$11-5)*(('7. INVESTIMENTO FROTA'!F268:K268*0.2))),0)</f>
        <v>0</v>
      </c>
      <c r="L50" s="155">
        <f>IFERROR(SUMPRODUCT(('7. INVESTIMENTO FROTA'!G$186:L$186&gt;'8. DEPRECIAÇÃO DE FROTA'!L$11-5)*(('7. INVESTIMENTO FROTA'!G268:L268*0.2))),0)</f>
        <v>0</v>
      </c>
      <c r="M50" s="155">
        <f>IFERROR(SUMPRODUCT(('7. INVESTIMENTO FROTA'!H$186:M$186&gt;'8. DEPRECIAÇÃO DE FROTA'!M$11-5)*(('7. INVESTIMENTO FROTA'!H268:M268*0.2))),0)</f>
        <v>0</v>
      </c>
      <c r="N50" s="155">
        <f>IFERROR(SUMPRODUCT(('7. INVESTIMENTO FROTA'!I$186:N$186&gt;'8. DEPRECIAÇÃO DE FROTA'!N$11-5)*(('7. INVESTIMENTO FROTA'!I268:N268*0.2))),0)</f>
        <v>0</v>
      </c>
      <c r="O50" s="155">
        <f>IFERROR(SUMPRODUCT(('7. INVESTIMENTO FROTA'!J$186:O$186&gt;'8. DEPRECIAÇÃO DE FROTA'!O$11-5)*(('7. INVESTIMENTO FROTA'!J268:O268*0.2))),0)</f>
        <v>0</v>
      </c>
      <c r="P50" s="155">
        <f>IFERROR(SUMPRODUCT(('7. INVESTIMENTO FROTA'!K$186:P$186&gt;'8. DEPRECIAÇÃO DE FROTA'!P$11-5)*(('7. INVESTIMENTO FROTA'!K268:P268*0.2))),0)</f>
        <v>0</v>
      </c>
      <c r="Q50" s="155">
        <f>IFERROR(SUMPRODUCT(('7. INVESTIMENTO FROTA'!L$186:Q$186&gt;'8. DEPRECIAÇÃO DE FROTA'!Q$11-5)*(('7. INVESTIMENTO FROTA'!L268:Q268*0.2))),0)</f>
        <v>0</v>
      </c>
      <c r="R50" s="155">
        <f>IFERROR(SUMPRODUCT(('7. INVESTIMENTO FROTA'!M$186:R$186&gt;'8. DEPRECIAÇÃO DE FROTA'!R$11-5)*(('7. INVESTIMENTO FROTA'!M268:R268*0.2))),0)</f>
        <v>0</v>
      </c>
      <c r="S50" s="155">
        <f>IFERROR(SUMPRODUCT(('7. INVESTIMENTO FROTA'!N$186:S$186&gt;'8. DEPRECIAÇÃO DE FROTA'!S$11-5)*(('7. INVESTIMENTO FROTA'!N268:S268*0.2))),0)</f>
        <v>0</v>
      </c>
      <c r="T50" s="156">
        <f>IFERROR(SUMPRODUCT(('7. INVESTIMENTO FROTA'!O$186:T$186&gt;'8. DEPRECIAÇÃO DE FROTA'!T$11-5)*(('7. INVESTIMENTO FROTA'!O268:T268*0.2))),0)</f>
        <v>0</v>
      </c>
    </row>
    <row r="51" spans="1:20">
      <c r="C51" s="110">
        <v>7</v>
      </c>
      <c r="D51" s="108" t="s">
        <v>95</v>
      </c>
      <c r="E51" s="155"/>
      <c r="F51" s="155">
        <f>SUMPRODUCT(('7. INVESTIMENTO FROTA'!$E$246:F$246&gt;F$43-5)*(('7. INVESTIMENTO FROTA'!$E269:F269*0.2)))</f>
        <v>0</v>
      </c>
      <c r="G51" s="155">
        <f>SUMPRODUCT(('7. INVESTIMENTO FROTA'!$E$246:G$246&gt;G$43-5)*(('7. INVESTIMENTO FROTA'!$E269:G269*0.2)))</f>
        <v>0</v>
      </c>
      <c r="H51" s="155">
        <f>SUMPRODUCT(('7. INVESTIMENTO FROTA'!$E$246:H$246&gt;H$43-5)*(('7. INVESTIMENTO FROTA'!$E269:H269*0.2)))</f>
        <v>0</v>
      </c>
      <c r="I51" s="155">
        <f>SUMPRODUCT(('7. INVESTIMENTO FROTA'!$E$246:I$246&gt;I$43-5)*(('7. INVESTIMENTO FROTA'!$E269:I269*0.2)))</f>
        <v>0</v>
      </c>
      <c r="J51" s="155">
        <f>SUMPRODUCT(('7. INVESTIMENTO FROTA'!$E$246:J$246&gt;J$43-5)*(('7. INVESTIMENTO FROTA'!$E269:J269*0.2)))</f>
        <v>0</v>
      </c>
      <c r="K51" s="155">
        <f>IFERROR(SUMPRODUCT(('7. INVESTIMENTO FROTA'!F$186:K$186&gt;'8. DEPRECIAÇÃO DE FROTA'!K$11-5)*(('7. INVESTIMENTO FROTA'!F269:K269*0.2))),0)</f>
        <v>0</v>
      </c>
      <c r="L51" s="155">
        <f>IFERROR(SUMPRODUCT(('7. INVESTIMENTO FROTA'!G$186:L$186&gt;'8. DEPRECIAÇÃO DE FROTA'!L$11-5)*(('7. INVESTIMENTO FROTA'!G269:L269*0.2))),0)</f>
        <v>0</v>
      </c>
      <c r="M51" s="155">
        <f>IFERROR(SUMPRODUCT(('7. INVESTIMENTO FROTA'!H$186:M$186&gt;'8. DEPRECIAÇÃO DE FROTA'!M$11-5)*(('7. INVESTIMENTO FROTA'!H269:M269*0.2))),0)</f>
        <v>0</v>
      </c>
      <c r="N51" s="155">
        <f>IFERROR(SUMPRODUCT(('7. INVESTIMENTO FROTA'!I$186:N$186&gt;'8. DEPRECIAÇÃO DE FROTA'!N$11-5)*(('7. INVESTIMENTO FROTA'!I269:N269*0.2))),0)</f>
        <v>0</v>
      </c>
      <c r="O51" s="155">
        <f>IFERROR(SUMPRODUCT(('7. INVESTIMENTO FROTA'!J$186:O$186&gt;'8. DEPRECIAÇÃO DE FROTA'!O$11-5)*(('7. INVESTIMENTO FROTA'!J269:O269*0.2))),0)</f>
        <v>0</v>
      </c>
      <c r="P51" s="155">
        <f>IFERROR(SUMPRODUCT(('7. INVESTIMENTO FROTA'!K$186:P$186&gt;'8. DEPRECIAÇÃO DE FROTA'!P$11-5)*(('7. INVESTIMENTO FROTA'!K269:P269*0.2))),0)</f>
        <v>0</v>
      </c>
      <c r="Q51" s="155">
        <f>IFERROR(SUMPRODUCT(('7. INVESTIMENTO FROTA'!L$186:Q$186&gt;'8. DEPRECIAÇÃO DE FROTA'!Q$11-5)*(('7. INVESTIMENTO FROTA'!L269:Q269*0.2))),0)</f>
        <v>0</v>
      </c>
      <c r="R51" s="155">
        <f>IFERROR(SUMPRODUCT(('7. INVESTIMENTO FROTA'!M$186:R$186&gt;'8. DEPRECIAÇÃO DE FROTA'!R$11-5)*(('7. INVESTIMENTO FROTA'!M269:R269*0.2))),0)</f>
        <v>0</v>
      </c>
      <c r="S51" s="155">
        <f>IFERROR(SUMPRODUCT(('7. INVESTIMENTO FROTA'!N$186:S$186&gt;'8. DEPRECIAÇÃO DE FROTA'!S$11-5)*(('7. INVESTIMENTO FROTA'!N269:S269*0.2))),0)</f>
        <v>0</v>
      </c>
      <c r="T51" s="156">
        <f>IFERROR(SUMPRODUCT(('7. INVESTIMENTO FROTA'!O$186:T$186&gt;'8. DEPRECIAÇÃO DE FROTA'!T$11-5)*(('7. INVESTIMENTO FROTA'!O269:T269*0.2))),0)</f>
        <v>0</v>
      </c>
    </row>
    <row r="52" spans="1:20">
      <c r="C52" s="110">
        <v>8</v>
      </c>
      <c r="D52" s="108" t="s">
        <v>96</v>
      </c>
      <c r="E52" s="155"/>
      <c r="F52" s="155">
        <f>SUMPRODUCT(('7. INVESTIMENTO FROTA'!$E$246:F$246&gt;F$43-5)*(('7. INVESTIMENTO FROTA'!$E270:F270*0.2)))</f>
        <v>0</v>
      </c>
      <c r="G52" s="155">
        <f>SUMPRODUCT(('7. INVESTIMENTO FROTA'!$E$246:G$246&gt;G$43-5)*(('7. INVESTIMENTO FROTA'!$E270:G270*0.2)))</f>
        <v>0</v>
      </c>
      <c r="H52" s="155">
        <f>SUMPRODUCT(('7. INVESTIMENTO FROTA'!$E$246:H$246&gt;H$43-5)*(('7. INVESTIMENTO FROTA'!$E270:H270*0.2)))</f>
        <v>0</v>
      </c>
      <c r="I52" s="155">
        <f>SUMPRODUCT(('7. INVESTIMENTO FROTA'!$E$246:I$246&gt;I$43-5)*(('7. INVESTIMENTO FROTA'!$E270:I270*0.2)))</f>
        <v>0</v>
      </c>
      <c r="J52" s="155">
        <f>SUMPRODUCT(('7. INVESTIMENTO FROTA'!$E$246:J$246&gt;J$43-5)*(('7. INVESTIMENTO FROTA'!$E270:J270*0.2)))</f>
        <v>0</v>
      </c>
      <c r="K52" s="155">
        <f>IFERROR(SUMPRODUCT(('7. INVESTIMENTO FROTA'!F$186:K$186&gt;'8. DEPRECIAÇÃO DE FROTA'!K$11-5)*(('7. INVESTIMENTO FROTA'!F270:K270*0.2))),0)</f>
        <v>0</v>
      </c>
      <c r="L52" s="155">
        <f>IFERROR(SUMPRODUCT(('7. INVESTIMENTO FROTA'!G$186:L$186&gt;'8. DEPRECIAÇÃO DE FROTA'!L$11-5)*(('7. INVESTIMENTO FROTA'!G270:L270*0.2))),0)</f>
        <v>0</v>
      </c>
      <c r="M52" s="155">
        <f>IFERROR(SUMPRODUCT(('7. INVESTIMENTO FROTA'!H$186:M$186&gt;'8. DEPRECIAÇÃO DE FROTA'!M$11-5)*(('7. INVESTIMENTO FROTA'!H270:M270*0.2))),0)</f>
        <v>0</v>
      </c>
      <c r="N52" s="155">
        <f>IFERROR(SUMPRODUCT(('7. INVESTIMENTO FROTA'!I$186:N$186&gt;'8. DEPRECIAÇÃO DE FROTA'!N$11-5)*(('7. INVESTIMENTO FROTA'!I270:N270*0.2))),0)</f>
        <v>0</v>
      </c>
      <c r="O52" s="155">
        <f>IFERROR(SUMPRODUCT(('7. INVESTIMENTO FROTA'!J$186:O$186&gt;'8. DEPRECIAÇÃO DE FROTA'!O$11-5)*(('7. INVESTIMENTO FROTA'!J270:O270*0.2))),0)</f>
        <v>0</v>
      </c>
      <c r="P52" s="155">
        <f>IFERROR(SUMPRODUCT(('7. INVESTIMENTO FROTA'!K$186:P$186&gt;'8. DEPRECIAÇÃO DE FROTA'!P$11-5)*(('7. INVESTIMENTO FROTA'!K270:P270*0.2))),0)</f>
        <v>0</v>
      </c>
      <c r="Q52" s="155">
        <f>IFERROR(SUMPRODUCT(('7. INVESTIMENTO FROTA'!L$186:Q$186&gt;'8. DEPRECIAÇÃO DE FROTA'!Q$11-5)*(('7. INVESTIMENTO FROTA'!L270:Q270*0.2))),0)</f>
        <v>0</v>
      </c>
      <c r="R52" s="155">
        <f>IFERROR(SUMPRODUCT(('7. INVESTIMENTO FROTA'!M$186:R$186&gt;'8. DEPRECIAÇÃO DE FROTA'!R$11-5)*(('7. INVESTIMENTO FROTA'!M270:R270*0.2))),0)</f>
        <v>0</v>
      </c>
      <c r="S52" s="155">
        <f>IFERROR(SUMPRODUCT(('7. INVESTIMENTO FROTA'!N$186:S$186&gt;'8. DEPRECIAÇÃO DE FROTA'!S$11-5)*(('7. INVESTIMENTO FROTA'!N270:S270*0.2))),0)</f>
        <v>0</v>
      </c>
      <c r="T52" s="156">
        <f>IFERROR(SUMPRODUCT(('7. INVESTIMENTO FROTA'!O$186:T$186&gt;'8. DEPRECIAÇÃO DE FROTA'!T$11-5)*(('7. INVESTIMENTO FROTA'!O270:T270*0.2))),0)</f>
        <v>0</v>
      </c>
    </row>
    <row r="53" spans="1:20">
      <c r="C53" s="110">
        <v>9</v>
      </c>
      <c r="D53" s="108" t="s">
        <v>97</v>
      </c>
      <c r="E53" s="155"/>
      <c r="F53" s="155">
        <f>SUMPRODUCT(('7. INVESTIMENTO FROTA'!$E$246:F$246&gt;F$43-5)*(('7. INVESTIMENTO FROTA'!$E271:F271*0.2)))</f>
        <v>0</v>
      </c>
      <c r="G53" s="155">
        <f>SUMPRODUCT(('7. INVESTIMENTO FROTA'!$E$246:G$246&gt;G$43-5)*(('7. INVESTIMENTO FROTA'!$E271:G271*0.2)))</f>
        <v>0</v>
      </c>
      <c r="H53" s="155">
        <f>SUMPRODUCT(('7. INVESTIMENTO FROTA'!$E$246:H$246&gt;H$43-5)*(('7. INVESTIMENTO FROTA'!$E271:H271*0.2)))</f>
        <v>0</v>
      </c>
      <c r="I53" s="155">
        <f>SUMPRODUCT(('7. INVESTIMENTO FROTA'!$E$246:I$246&gt;I$43-5)*(('7. INVESTIMENTO FROTA'!$E271:I271*0.2)))</f>
        <v>0</v>
      </c>
      <c r="J53" s="155">
        <f>SUMPRODUCT(('7. INVESTIMENTO FROTA'!$E$246:J$246&gt;J$43-5)*(('7. INVESTIMENTO FROTA'!$E271:J271*0.2)))</f>
        <v>0</v>
      </c>
      <c r="K53" s="155">
        <f>IFERROR(SUMPRODUCT(('7. INVESTIMENTO FROTA'!F$186:K$186&gt;'8. DEPRECIAÇÃO DE FROTA'!K$11-5)*(('7. INVESTIMENTO FROTA'!F271:K271*0.2))),0)</f>
        <v>0</v>
      </c>
      <c r="L53" s="155">
        <f>IFERROR(SUMPRODUCT(('7. INVESTIMENTO FROTA'!G$186:L$186&gt;'8. DEPRECIAÇÃO DE FROTA'!L$11-5)*(('7. INVESTIMENTO FROTA'!G271:L271*0.2))),0)</f>
        <v>0</v>
      </c>
      <c r="M53" s="155">
        <f>IFERROR(SUMPRODUCT(('7. INVESTIMENTO FROTA'!H$186:M$186&gt;'8. DEPRECIAÇÃO DE FROTA'!M$11-5)*(('7. INVESTIMENTO FROTA'!H271:M271*0.2))),0)</f>
        <v>0</v>
      </c>
      <c r="N53" s="155">
        <f>IFERROR(SUMPRODUCT(('7. INVESTIMENTO FROTA'!I$186:N$186&gt;'8. DEPRECIAÇÃO DE FROTA'!N$11-5)*(('7. INVESTIMENTO FROTA'!I271:N271*0.2))),0)</f>
        <v>0</v>
      </c>
      <c r="O53" s="155">
        <f>IFERROR(SUMPRODUCT(('7. INVESTIMENTO FROTA'!J$186:O$186&gt;'8. DEPRECIAÇÃO DE FROTA'!O$11-5)*(('7. INVESTIMENTO FROTA'!J271:O271*0.2))),0)</f>
        <v>0</v>
      </c>
      <c r="P53" s="155">
        <f>IFERROR(SUMPRODUCT(('7. INVESTIMENTO FROTA'!K$186:P$186&gt;'8. DEPRECIAÇÃO DE FROTA'!P$11-5)*(('7. INVESTIMENTO FROTA'!K271:P271*0.2))),0)</f>
        <v>0</v>
      </c>
      <c r="Q53" s="155">
        <f>IFERROR(SUMPRODUCT(('7. INVESTIMENTO FROTA'!L$186:Q$186&gt;'8. DEPRECIAÇÃO DE FROTA'!Q$11-5)*(('7. INVESTIMENTO FROTA'!L271:Q271*0.2))),0)</f>
        <v>0</v>
      </c>
      <c r="R53" s="155">
        <f>IFERROR(SUMPRODUCT(('7. INVESTIMENTO FROTA'!M$186:R$186&gt;'8. DEPRECIAÇÃO DE FROTA'!R$11-5)*(('7. INVESTIMENTO FROTA'!M271:R271*0.2))),0)</f>
        <v>0</v>
      </c>
      <c r="S53" s="155">
        <f>IFERROR(SUMPRODUCT(('7. INVESTIMENTO FROTA'!N$186:S$186&gt;'8. DEPRECIAÇÃO DE FROTA'!S$11-5)*(('7. INVESTIMENTO FROTA'!N271:S271*0.2))),0)</f>
        <v>0</v>
      </c>
      <c r="T53" s="156">
        <f>IFERROR(SUMPRODUCT(('7. INVESTIMENTO FROTA'!O$186:T$186&gt;'8. DEPRECIAÇÃO DE FROTA'!T$11-5)*(('7. INVESTIMENTO FROTA'!O271:T271*0.2))),0)</f>
        <v>0</v>
      </c>
    </row>
    <row r="54" spans="1:20">
      <c r="C54" s="110">
        <v>10</v>
      </c>
      <c r="D54" s="109" t="s">
        <v>98</v>
      </c>
      <c r="E54" s="155"/>
      <c r="F54" s="155">
        <f>SUMPRODUCT(('7. INVESTIMENTO FROTA'!$E$246:F$246&gt;F$43-5)*(('7. INVESTIMENTO FROTA'!$E272:F272*0.2)))</f>
        <v>0</v>
      </c>
      <c r="G54" s="155">
        <f>SUMPRODUCT(('7. INVESTIMENTO FROTA'!$E$246:G$246&gt;G$43-5)*(('7. INVESTIMENTO FROTA'!$E272:G272*0.2)))</f>
        <v>0</v>
      </c>
      <c r="H54" s="155">
        <f>SUMPRODUCT(('7. INVESTIMENTO FROTA'!$E$246:H$246&gt;H$43-5)*(('7. INVESTIMENTO FROTA'!$E272:H272*0.2)))</f>
        <v>0</v>
      </c>
      <c r="I54" s="155">
        <f>SUMPRODUCT(('7. INVESTIMENTO FROTA'!$E$246:I$246&gt;I$43-5)*(('7. INVESTIMENTO FROTA'!$E272:I272*0.2)))</f>
        <v>0</v>
      </c>
      <c r="J54" s="155">
        <f>SUMPRODUCT(('7. INVESTIMENTO FROTA'!$E$246:J$246&gt;J$43-5)*(('7. INVESTIMENTO FROTA'!$E272:J272*0.2)))</f>
        <v>0</v>
      </c>
      <c r="K54" s="155">
        <f>IFERROR(SUMPRODUCT(('7. INVESTIMENTO FROTA'!F$186:K$186&gt;'8. DEPRECIAÇÃO DE FROTA'!K$11-5)*(('7. INVESTIMENTO FROTA'!F272:K272*0.2))),0)</f>
        <v>0</v>
      </c>
      <c r="L54" s="155">
        <f>IFERROR(SUMPRODUCT(('7. INVESTIMENTO FROTA'!G$186:L$186&gt;'8. DEPRECIAÇÃO DE FROTA'!L$11-5)*(('7. INVESTIMENTO FROTA'!G272:L272*0.2))),0)</f>
        <v>0</v>
      </c>
      <c r="M54" s="155">
        <f>IFERROR(SUMPRODUCT(('7. INVESTIMENTO FROTA'!H$186:M$186&gt;'8. DEPRECIAÇÃO DE FROTA'!M$11-5)*(('7. INVESTIMENTO FROTA'!H272:M272*0.2))),0)</f>
        <v>0</v>
      </c>
      <c r="N54" s="155">
        <f>IFERROR(SUMPRODUCT(('7. INVESTIMENTO FROTA'!I$186:N$186&gt;'8. DEPRECIAÇÃO DE FROTA'!N$11-5)*(('7. INVESTIMENTO FROTA'!I272:N272*0.2))),0)</f>
        <v>0</v>
      </c>
      <c r="O54" s="155">
        <f>IFERROR(SUMPRODUCT(('7. INVESTIMENTO FROTA'!J$186:O$186&gt;'8. DEPRECIAÇÃO DE FROTA'!O$11-5)*(('7. INVESTIMENTO FROTA'!J272:O272*0.2))),0)</f>
        <v>0</v>
      </c>
      <c r="P54" s="155">
        <f>IFERROR(SUMPRODUCT(('7. INVESTIMENTO FROTA'!K$186:P$186&gt;'8. DEPRECIAÇÃO DE FROTA'!P$11-5)*(('7. INVESTIMENTO FROTA'!K272:P272*0.2))),0)</f>
        <v>0</v>
      </c>
      <c r="Q54" s="155">
        <f>IFERROR(SUMPRODUCT(('7. INVESTIMENTO FROTA'!L$186:Q$186&gt;'8. DEPRECIAÇÃO DE FROTA'!Q$11-5)*(('7. INVESTIMENTO FROTA'!L272:Q272*0.2))),0)</f>
        <v>0</v>
      </c>
      <c r="R54" s="155">
        <f>IFERROR(SUMPRODUCT(('7. INVESTIMENTO FROTA'!M$186:R$186&gt;'8. DEPRECIAÇÃO DE FROTA'!R$11-5)*(('7. INVESTIMENTO FROTA'!M272:R272*0.2))),0)</f>
        <v>0</v>
      </c>
      <c r="S54" s="155">
        <f>IFERROR(SUMPRODUCT(('7. INVESTIMENTO FROTA'!N$186:S$186&gt;'8. DEPRECIAÇÃO DE FROTA'!S$11-5)*(('7. INVESTIMENTO FROTA'!N272:S272*0.2))),0)</f>
        <v>0</v>
      </c>
      <c r="T54" s="156">
        <f>IFERROR(SUMPRODUCT(('7. INVESTIMENTO FROTA'!O$186:T$186&gt;'8. DEPRECIAÇÃO DE FROTA'!T$11-5)*(('7. INVESTIMENTO FROTA'!O272:T272*0.2))),0)</f>
        <v>0</v>
      </c>
    </row>
    <row r="55" spans="1:20">
      <c r="C55" s="111" t="s">
        <v>88</v>
      </c>
      <c r="D55" s="112"/>
      <c r="E55" s="157">
        <f t="shared" ref="E55:T55" si="5">SUM(E44:E54)</f>
        <v>0</v>
      </c>
      <c r="F55" s="157">
        <f t="shared" si="5"/>
        <v>0</v>
      </c>
      <c r="G55" s="157">
        <f t="shared" si="5"/>
        <v>0</v>
      </c>
      <c r="H55" s="157">
        <f t="shared" si="5"/>
        <v>0</v>
      </c>
      <c r="I55" s="157">
        <f t="shared" si="5"/>
        <v>0</v>
      </c>
      <c r="J55" s="157">
        <f t="shared" si="5"/>
        <v>0</v>
      </c>
      <c r="K55" s="157">
        <f t="shared" si="5"/>
        <v>0</v>
      </c>
      <c r="L55" s="157">
        <f t="shared" si="5"/>
        <v>0</v>
      </c>
      <c r="M55" s="157">
        <f t="shared" si="5"/>
        <v>0</v>
      </c>
      <c r="N55" s="157">
        <f t="shared" si="5"/>
        <v>0</v>
      </c>
      <c r="O55" s="157">
        <f t="shared" si="5"/>
        <v>0</v>
      </c>
      <c r="P55" s="157">
        <f t="shared" si="5"/>
        <v>0</v>
      </c>
      <c r="Q55" s="157">
        <f t="shared" si="5"/>
        <v>0</v>
      </c>
      <c r="R55" s="157">
        <f t="shared" si="5"/>
        <v>0</v>
      </c>
      <c r="S55" s="157">
        <f t="shared" si="5"/>
        <v>0</v>
      </c>
      <c r="T55" s="158">
        <f t="shared" si="5"/>
        <v>0</v>
      </c>
    </row>
    <row r="58" spans="1:20" ht="15.75">
      <c r="C58" s="381" t="str">
        <f>+MENU!C125</f>
        <v>8.4. - RESUMO DAS DEPRECIAÇÕES DE VEÍCULOS (CONTÁBIL)</v>
      </c>
    </row>
    <row r="59" spans="1:20" ht="13.5" thickBot="1">
      <c r="B59" s="4"/>
    </row>
    <row r="60" spans="1:20" ht="18" customHeight="1" thickBot="1">
      <c r="C60" s="720" t="s">
        <v>210</v>
      </c>
      <c r="D60" s="720"/>
      <c r="E60" s="721"/>
      <c r="F60" s="591">
        <v>1</v>
      </c>
      <c r="G60" s="592">
        <f t="shared" ref="G60:T60" si="6">+F60+1</f>
        <v>2</v>
      </c>
      <c r="H60" s="592">
        <f t="shared" si="6"/>
        <v>3</v>
      </c>
      <c r="I60" s="592">
        <f t="shared" si="6"/>
        <v>4</v>
      </c>
      <c r="J60" s="592">
        <f t="shared" si="6"/>
        <v>5</v>
      </c>
      <c r="K60" s="592">
        <f t="shared" si="6"/>
        <v>6</v>
      </c>
      <c r="L60" s="592">
        <f t="shared" si="6"/>
        <v>7</v>
      </c>
      <c r="M60" s="592">
        <f t="shared" si="6"/>
        <v>8</v>
      </c>
      <c r="N60" s="592">
        <f t="shared" si="6"/>
        <v>9</v>
      </c>
      <c r="O60" s="592">
        <f t="shared" si="6"/>
        <v>10</v>
      </c>
      <c r="P60" s="592">
        <f t="shared" si="6"/>
        <v>11</v>
      </c>
      <c r="Q60" s="592">
        <f t="shared" si="6"/>
        <v>12</v>
      </c>
      <c r="R60" s="592">
        <f t="shared" si="6"/>
        <v>13</v>
      </c>
      <c r="S60" s="592">
        <f t="shared" si="6"/>
        <v>14</v>
      </c>
      <c r="T60" s="593">
        <f t="shared" si="6"/>
        <v>15</v>
      </c>
    </row>
    <row r="61" spans="1:20" ht="21.75" customHeight="1">
      <c r="A61" s="2">
        <v>1</v>
      </c>
      <c r="B61" s="5"/>
      <c r="C61" s="722" t="str">
        <f>"Depreciação Veículo - "&amp;VLOOKUP(A61,TIPOLOGIA!$D$10:$E$12,2,0)&amp;"  (R$)"</f>
        <v>Depreciação Veículo - MICROÔNIBUS  (R$)</v>
      </c>
      <c r="D61" s="722"/>
      <c r="E61" s="723"/>
      <c r="F61" s="551">
        <f>+'8. DEPRECIAÇÃO DE FROTA'!F23</f>
        <v>71343.477333333329</v>
      </c>
      <c r="G61" s="552">
        <f>+'8. DEPRECIAÇÃO DE FROTA'!G23</f>
        <v>71343.477333333329</v>
      </c>
      <c r="H61" s="552">
        <f>+'8. DEPRECIAÇÃO DE FROTA'!H23</f>
        <v>71343.477333333329</v>
      </c>
      <c r="I61" s="552">
        <f>+'8. DEPRECIAÇÃO DE FROTA'!I23</f>
        <v>71343.477333333329</v>
      </c>
      <c r="J61" s="552">
        <f>+'8. DEPRECIAÇÃO DE FROTA'!J23</f>
        <v>315949.68533333333</v>
      </c>
      <c r="K61" s="552">
        <f>+'8. DEPRECIAÇÃO DE FROTA'!K23</f>
        <v>244606.20800000001</v>
      </c>
      <c r="L61" s="552">
        <f>+'8. DEPRECIAÇÃO DE FROTA'!L23</f>
        <v>244606.20800000001</v>
      </c>
      <c r="M61" s="552">
        <f>+'8. DEPRECIAÇÃO DE FROTA'!M23</f>
        <v>244606.20800000001</v>
      </c>
      <c r="N61" s="552">
        <f>+'8. DEPRECIAÇÃO DE FROTA'!N23</f>
        <v>244606.20800000001</v>
      </c>
      <c r="O61" s="552">
        <f>+'8. DEPRECIAÇÃO DE FROTA'!O23</f>
        <v>0</v>
      </c>
      <c r="P61" s="552">
        <f>+'8. DEPRECIAÇÃO DE FROTA'!P23</f>
        <v>0</v>
      </c>
      <c r="Q61" s="552">
        <f>+'8. DEPRECIAÇÃO DE FROTA'!Q23</f>
        <v>0</v>
      </c>
      <c r="R61" s="552">
        <f>+'8. DEPRECIAÇÃO DE FROTA'!R23</f>
        <v>244606.20800000001</v>
      </c>
      <c r="S61" s="552">
        <f>+'8. DEPRECIAÇÃO DE FROTA'!S23</f>
        <v>244606.20800000001</v>
      </c>
      <c r="T61" s="553">
        <f>+'8. DEPRECIAÇÃO DE FROTA'!T23</f>
        <v>244606.20800000001</v>
      </c>
    </row>
    <row r="62" spans="1:20" ht="21.75" customHeight="1">
      <c r="A62" s="2">
        <v>2</v>
      </c>
      <c r="B62" s="5"/>
      <c r="C62" s="724" t="str">
        <f>"Depreciação Veículo - "&amp;VLOOKUP(A62,TIPOLOGIA!$D$10:$E$12,2,0)&amp;"  (R$)"</f>
        <v>Depreciação Veículo - CONVENCIONAL  (R$)</v>
      </c>
      <c r="D62" s="724"/>
      <c r="E62" s="725"/>
      <c r="F62" s="554">
        <f>+'8. DEPRECIAÇÃO DE FROTA'!F39</f>
        <v>187501.55000000002</v>
      </c>
      <c r="G62" s="555">
        <f>+'8. DEPRECIAÇÃO DE FROTA'!G39</f>
        <v>412503.41000000003</v>
      </c>
      <c r="H62" s="555">
        <f>+'8. DEPRECIAÇÃO DE FROTA'!H39</f>
        <v>562504.65</v>
      </c>
      <c r="I62" s="555">
        <f>+'8. DEPRECIAÇÃO DE FROTA'!I39</f>
        <v>712505.89</v>
      </c>
      <c r="J62" s="555">
        <f>+'8. DEPRECIAÇÃO DE FROTA'!J39</f>
        <v>937507.75</v>
      </c>
      <c r="K62" s="555">
        <f>+'8. DEPRECIAÇÃO DE FROTA'!K39</f>
        <v>750006.2</v>
      </c>
      <c r="L62" s="555">
        <f>+'8. DEPRECIAÇÃO DE FROTA'!L39</f>
        <v>525004.34</v>
      </c>
      <c r="M62" s="555">
        <f>+'8. DEPRECIAÇÃO DE FROTA'!M39</f>
        <v>375003.1</v>
      </c>
      <c r="N62" s="555">
        <f>+'8. DEPRECIAÇÃO DE FROTA'!N39</f>
        <v>300002.48</v>
      </c>
      <c r="O62" s="555">
        <f>+'8. DEPRECIAÇÃO DE FROTA'!O39</f>
        <v>150001.24</v>
      </c>
      <c r="P62" s="555">
        <f>+'8. DEPRECIAÇÃO DE FROTA'!P39</f>
        <v>375003.1</v>
      </c>
      <c r="Q62" s="555">
        <f>+'8. DEPRECIAÇÃO DE FROTA'!Q39</f>
        <v>525004.34</v>
      </c>
      <c r="R62" s="555">
        <f>+'8. DEPRECIAÇÃO DE FROTA'!R39</f>
        <v>750006.2</v>
      </c>
      <c r="S62" s="555">
        <f>+'8. DEPRECIAÇÃO DE FROTA'!S39</f>
        <v>675005.58</v>
      </c>
      <c r="T62" s="556">
        <f>+'8. DEPRECIAÇÃO DE FROTA'!T39</f>
        <v>600004.96</v>
      </c>
    </row>
    <row r="63" spans="1:20" ht="21.75" customHeight="1" thickBot="1">
      <c r="A63" s="2">
        <v>3</v>
      </c>
      <c r="B63" s="5"/>
      <c r="C63" s="724" t="str">
        <f>"Depreciação Veículo - "&amp;VLOOKUP(A63,TIPOLOGIA!$D$10:$E$12,2,0)&amp;"  (R$)"</f>
        <v>Depreciação Veículo - -  (R$)</v>
      </c>
      <c r="D63" s="724"/>
      <c r="E63" s="725"/>
      <c r="F63" s="557">
        <f>+'8. DEPRECIAÇÃO DE FROTA'!F55</f>
        <v>0</v>
      </c>
      <c r="G63" s="558">
        <f>+'8. DEPRECIAÇÃO DE FROTA'!G55</f>
        <v>0</v>
      </c>
      <c r="H63" s="558">
        <f>+'8. DEPRECIAÇÃO DE FROTA'!H55</f>
        <v>0</v>
      </c>
      <c r="I63" s="558">
        <f>+'8. DEPRECIAÇÃO DE FROTA'!I55</f>
        <v>0</v>
      </c>
      <c r="J63" s="558">
        <f>+'8. DEPRECIAÇÃO DE FROTA'!J55</f>
        <v>0</v>
      </c>
      <c r="K63" s="558">
        <f>+'8. DEPRECIAÇÃO DE FROTA'!K55</f>
        <v>0</v>
      </c>
      <c r="L63" s="558">
        <f>+'8. DEPRECIAÇÃO DE FROTA'!L55</f>
        <v>0</v>
      </c>
      <c r="M63" s="558">
        <f>+'8. DEPRECIAÇÃO DE FROTA'!M55</f>
        <v>0</v>
      </c>
      <c r="N63" s="558">
        <f>+'8. DEPRECIAÇÃO DE FROTA'!N55</f>
        <v>0</v>
      </c>
      <c r="O63" s="558">
        <f>+'8. DEPRECIAÇÃO DE FROTA'!O55</f>
        <v>0</v>
      </c>
      <c r="P63" s="558">
        <f>+'8. DEPRECIAÇÃO DE FROTA'!P55</f>
        <v>0</v>
      </c>
      <c r="Q63" s="558">
        <f>+'8. DEPRECIAÇÃO DE FROTA'!Q55</f>
        <v>0</v>
      </c>
      <c r="R63" s="558">
        <f>+'8. DEPRECIAÇÃO DE FROTA'!R55</f>
        <v>0</v>
      </c>
      <c r="S63" s="558">
        <f>+'8. DEPRECIAÇÃO DE FROTA'!S55</f>
        <v>0</v>
      </c>
      <c r="T63" s="559">
        <f>+'8. DEPRECIAÇÃO DE FROTA'!T55</f>
        <v>0</v>
      </c>
    </row>
    <row r="64" spans="1:20" ht="21.75" customHeight="1" thickBot="1">
      <c r="C64" s="726" t="s">
        <v>112</v>
      </c>
      <c r="D64" s="726"/>
      <c r="E64" s="727"/>
      <c r="F64" s="560">
        <f t="shared" ref="F64:T64" si="7">SUM(F61:F63)</f>
        <v>258845.02733333333</v>
      </c>
      <c r="G64" s="561">
        <f t="shared" si="7"/>
        <v>483846.88733333338</v>
      </c>
      <c r="H64" s="561">
        <f t="shared" si="7"/>
        <v>633848.12733333337</v>
      </c>
      <c r="I64" s="561">
        <f t="shared" si="7"/>
        <v>783849.36733333336</v>
      </c>
      <c r="J64" s="561">
        <f t="shared" si="7"/>
        <v>1253457.4353333334</v>
      </c>
      <c r="K64" s="561">
        <f t="shared" si="7"/>
        <v>994612.40799999994</v>
      </c>
      <c r="L64" s="561">
        <f t="shared" si="7"/>
        <v>769610.54799999995</v>
      </c>
      <c r="M64" s="561">
        <f t="shared" si="7"/>
        <v>619609.30799999996</v>
      </c>
      <c r="N64" s="561">
        <f t="shared" si="7"/>
        <v>544608.68799999997</v>
      </c>
      <c r="O64" s="561">
        <f t="shared" si="7"/>
        <v>150001.24</v>
      </c>
      <c r="P64" s="561">
        <f t="shared" si="7"/>
        <v>375003.1</v>
      </c>
      <c r="Q64" s="561">
        <f t="shared" si="7"/>
        <v>525004.34</v>
      </c>
      <c r="R64" s="561">
        <f t="shared" si="7"/>
        <v>994612.40799999994</v>
      </c>
      <c r="S64" s="561">
        <f t="shared" si="7"/>
        <v>919611.78799999994</v>
      </c>
      <c r="T64" s="562">
        <f t="shared" si="7"/>
        <v>844611.16799999995</v>
      </c>
    </row>
  </sheetData>
  <mergeCells count="11">
    <mergeCell ref="C60:E60"/>
    <mergeCell ref="C61:E61"/>
    <mergeCell ref="C62:E62"/>
    <mergeCell ref="C63:E63"/>
    <mergeCell ref="C64:E64"/>
    <mergeCell ref="C43:D43"/>
    <mergeCell ref="C9:F9"/>
    <mergeCell ref="C11:D11"/>
    <mergeCell ref="C25:F25"/>
    <mergeCell ref="C27:D27"/>
    <mergeCell ref="C41:F41"/>
  </mergeCells>
  <pageMargins left="0.51181102362204722" right="0.51181102362204722" top="0.78740157480314965" bottom="0.78740157480314965" header="0.31496062992125984" footer="0.31496062992125984"/>
  <pageSetup paperSize="9" scale="75" fitToHeight="2" orientation="landscape" verticalDpi="300" r:id="rId1"/>
  <rowBreaks count="1" manualBreakCount="1">
    <brk id="40" min="1" max="19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R42"/>
  <sheetViews>
    <sheetView showGridLines="0" view="pageBreakPreview" topLeftCell="A31" zoomScaleNormal="100" zoomScaleSheetLayoutView="100" workbookViewId="0">
      <selection activeCell="E27" sqref="E27"/>
    </sheetView>
  </sheetViews>
  <sheetFormatPr defaultRowHeight="15"/>
  <cols>
    <col min="1" max="1" width="2" style="402" customWidth="1"/>
    <col min="2" max="2" width="37.28515625" style="402" customWidth="1"/>
    <col min="3" max="17" width="9" style="546" customWidth="1"/>
    <col min="18" max="16384" width="9.140625" style="402"/>
  </cols>
  <sheetData>
    <row r="1" spans="2:17">
      <c r="B1" s="1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</row>
    <row r="2" spans="2:17">
      <c r="B2" s="1"/>
      <c r="C2" s="403" t="s">
        <v>365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</row>
    <row r="3" spans="2:17">
      <c r="B3" s="1"/>
      <c r="C3" s="403" t="str">
        <f>MENU!$B$3&amp;"  -  "&amp;+MENU!$B$4</f>
        <v xml:space="preserve">CONCORRÊNCIA Nº 003/18  -  </v>
      </c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</row>
    <row r="4" spans="2:17">
      <c r="B4" s="1"/>
      <c r="C4" s="403" t="str">
        <f>+MENU!$C$2</f>
        <v>ESTUDO TÉCNICO DE VIABILIDADE ECONÔMICA DA OPERAÇÃO DO SERVIÇO DE TRANSPORTE COLETIVO DA CIDADE DE AMPARO</v>
      </c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</row>
    <row r="5" spans="2:17" ht="15.75" thickBot="1">
      <c r="B5" s="3"/>
      <c r="C5" s="420" t="str">
        <f>+MENU!$C$3</f>
        <v>ANEXO IV.1 - ESTUDO TÉCNICO DE VIABILIDADE ECONÔMICA - ORÇAMENTO ESTIMADO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37" t="str">
        <f>+MENU!$C$5</f>
        <v>DATA BASE DE CÁLCULO: MARÇO 2020</v>
      </c>
    </row>
    <row r="6" spans="2:17">
      <c r="B6" s="2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2:17" ht="15.75">
      <c r="B7" s="381" t="str">
        <f>+MENU!C126</f>
        <v>9. - DETALHAMENTO DOS ENCARGOS SOCIAIS</v>
      </c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</row>
    <row r="9" spans="2:17">
      <c r="B9" s="579" t="s">
        <v>125</v>
      </c>
      <c r="C9" s="594">
        <v>1</v>
      </c>
      <c r="D9" s="594">
        <f t="shared" ref="D9:Q9" si="0">+C9+1</f>
        <v>2</v>
      </c>
      <c r="E9" s="594">
        <f t="shared" si="0"/>
        <v>3</v>
      </c>
      <c r="F9" s="594">
        <f t="shared" si="0"/>
        <v>4</v>
      </c>
      <c r="G9" s="594">
        <f t="shared" si="0"/>
        <v>5</v>
      </c>
      <c r="H9" s="594">
        <f t="shared" si="0"/>
        <v>6</v>
      </c>
      <c r="I9" s="594">
        <f t="shared" si="0"/>
        <v>7</v>
      </c>
      <c r="J9" s="594">
        <f t="shared" si="0"/>
        <v>8</v>
      </c>
      <c r="K9" s="594">
        <f t="shared" si="0"/>
        <v>9</v>
      </c>
      <c r="L9" s="594">
        <f t="shared" si="0"/>
        <v>10</v>
      </c>
      <c r="M9" s="594">
        <f t="shared" si="0"/>
        <v>11</v>
      </c>
      <c r="N9" s="594">
        <f t="shared" si="0"/>
        <v>12</v>
      </c>
      <c r="O9" s="594">
        <f t="shared" si="0"/>
        <v>13</v>
      </c>
      <c r="P9" s="594">
        <f t="shared" si="0"/>
        <v>14</v>
      </c>
      <c r="Q9" s="595">
        <f t="shared" si="0"/>
        <v>15</v>
      </c>
    </row>
    <row r="10" spans="2:17">
      <c r="B10" s="536" t="s">
        <v>126</v>
      </c>
      <c r="C10" s="611">
        <v>0</v>
      </c>
      <c r="D10" s="537">
        <v>0.2</v>
      </c>
      <c r="E10" s="537">
        <f t="shared" ref="E10:Q10" si="1">D10</f>
        <v>0.2</v>
      </c>
      <c r="F10" s="537">
        <f t="shared" si="1"/>
        <v>0.2</v>
      </c>
      <c r="G10" s="537">
        <f t="shared" si="1"/>
        <v>0.2</v>
      </c>
      <c r="H10" s="537">
        <f t="shared" si="1"/>
        <v>0.2</v>
      </c>
      <c r="I10" s="537">
        <f t="shared" si="1"/>
        <v>0.2</v>
      </c>
      <c r="J10" s="537">
        <f t="shared" si="1"/>
        <v>0.2</v>
      </c>
      <c r="K10" s="537">
        <f t="shared" si="1"/>
        <v>0.2</v>
      </c>
      <c r="L10" s="537">
        <f t="shared" si="1"/>
        <v>0.2</v>
      </c>
      <c r="M10" s="537">
        <f t="shared" si="1"/>
        <v>0.2</v>
      </c>
      <c r="N10" s="537">
        <f t="shared" si="1"/>
        <v>0.2</v>
      </c>
      <c r="O10" s="537">
        <f t="shared" si="1"/>
        <v>0.2</v>
      </c>
      <c r="P10" s="537">
        <f t="shared" si="1"/>
        <v>0.2</v>
      </c>
      <c r="Q10" s="538">
        <f t="shared" si="1"/>
        <v>0.2</v>
      </c>
    </row>
    <row r="11" spans="2:17">
      <c r="B11" s="539" t="s">
        <v>127</v>
      </c>
      <c r="C11" s="612">
        <v>0.03</v>
      </c>
      <c r="D11" s="540">
        <f t="shared" ref="D11:Q11" si="2">C11</f>
        <v>0.03</v>
      </c>
      <c r="E11" s="540">
        <f t="shared" si="2"/>
        <v>0.03</v>
      </c>
      <c r="F11" s="540">
        <f t="shared" si="2"/>
        <v>0.03</v>
      </c>
      <c r="G11" s="540">
        <f t="shared" si="2"/>
        <v>0.03</v>
      </c>
      <c r="H11" s="540">
        <f t="shared" si="2"/>
        <v>0.03</v>
      </c>
      <c r="I11" s="540">
        <f t="shared" si="2"/>
        <v>0.03</v>
      </c>
      <c r="J11" s="540">
        <f t="shared" si="2"/>
        <v>0.03</v>
      </c>
      <c r="K11" s="540">
        <f t="shared" si="2"/>
        <v>0.03</v>
      </c>
      <c r="L11" s="540">
        <f t="shared" si="2"/>
        <v>0.03</v>
      </c>
      <c r="M11" s="540">
        <f t="shared" si="2"/>
        <v>0.03</v>
      </c>
      <c r="N11" s="540">
        <f t="shared" si="2"/>
        <v>0.03</v>
      </c>
      <c r="O11" s="540">
        <f t="shared" si="2"/>
        <v>0.03</v>
      </c>
      <c r="P11" s="540">
        <f t="shared" si="2"/>
        <v>0.03</v>
      </c>
      <c r="Q11" s="541">
        <f t="shared" si="2"/>
        <v>0.03</v>
      </c>
    </row>
    <row r="12" spans="2:17">
      <c r="B12" s="539" t="s">
        <v>128</v>
      </c>
      <c r="C12" s="612">
        <v>2.5000000000000001E-2</v>
      </c>
      <c r="D12" s="540">
        <f t="shared" ref="D12:Q12" si="3">C12</f>
        <v>2.5000000000000001E-2</v>
      </c>
      <c r="E12" s="540">
        <f t="shared" si="3"/>
        <v>2.5000000000000001E-2</v>
      </c>
      <c r="F12" s="540">
        <f t="shared" si="3"/>
        <v>2.5000000000000001E-2</v>
      </c>
      <c r="G12" s="540">
        <f t="shared" si="3"/>
        <v>2.5000000000000001E-2</v>
      </c>
      <c r="H12" s="540">
        <f t="shared" si="3"/>
        <v>2.5000000000000001E-2</v>
      </c>
      <c r="I12" s="540">
        <f t="shared" si="3"/>
        <v>2.5000000000000001E-2</v>
      </c>
      <c r="J12" s="540">
        <f t="shared" si="3"/>
        <v>2.5000000000000001E-2</v>
      </c>
      <c r="K12" s="540">
        <f t="shared" si="3"/>
        <v>2.5000000000000001E-2</v>
      </c>
      <c r="L12" s="540">
        <f t="shared" si="3"/>
        <v>2.5000000000000001E-2</v>
      </c>
      <c r="M12" s="540">
        <f t="shared" si="3"/>
        <v>2.5000000000000001E-2</v>
      </c>
      <c r="N12" s="540">
        <f t="shared" si="3"/>
        <v>2.5000000000000001E-2</v>
      </c>
      <c r="O12" s="540">
        <f t="shared" si="3"/>
        <v>2.5000000000000001E-2</v>
      </c>
      <c r="P12" s="540">
        <f t="shared" si="3"/>
        <v>2.5000000000000001E-2</v>
      </c>
      <c r="Q12" s="541">
        <f t="shared" si="3"/>
        <v>2.5000000000000001E-2</v>
      </c>
    </row>
    <row r="13" spans="2:17">
      <c r="B13" s="539" t="s">
        <v>129</v>
      </c>
      <c r="C13" s="612">
        <v>2E-3</v>
      </c>
      <c r="D13" s="540">
        <f t="shared" ref="D13:Q13" si="4">C13</f>
        <v>2E-3</v>
      </c>
      <c r="E13" s="540">
        <f t="shared" si="4"/>
        <v>2E-3</v>
      </c>
      <c r="F13" s="540">
        <f t="shared" si="4"/>
        <v>2E-3</v>
      </c>
      <c r="G13" s="540">
        <f t="shared" si="4"/>
        <v>2E-3</v>
      </c>
      <c r="H13" s="540">
        <f t="shared" si="4"/>
        <v>2E-3</v>
      </c>
      <c r="I13" s="540">
        <f t="shared" si="4"/>
        <v>2E-3</v>
      </c>
      <c r="J13" s="540">
        <f t="shared" si="4"/>
        <v>2E-3</v>
      </c>
      <c r="K13" s="540">
        <f t="shared" si="4"/>
        <v>2E-3</v>
      </c>
      <c r="L13" s="540">
        <f t="shared" si="4"/>
        <v>2E-3</v>
      </c>
      <c r="M13" s="540">
        <f t="shared" si="4"/>
        <v>2E-3</v>
      </c>
      <c r="N13" s="540">
        <f t="shared" si="4"/>
        <v>2E-3</v>
      </c>
      <c r="O13" s="540">
        <f t="shared" si="4"/>
        <v>2E-3</v>
      </c>
      <c r="P13" s="540">
        <f t="shared" si="4"/>
        <v>2E-3</v>
      </c>
      <c r="Q13" s="541">
        <f t="shared" si="4"/>
        <v>2E-3</v>
      </c>
    </row>
    <row r="14" spans="2:17">
      <c r="B14" s="539" t="s">
        <v>130</v>
      </c>
      <c r="C14" s="612">
        <v>0.01</v>
      </c>
      <c r="D14" s="540">
        <f t="shared" ref="D14:Q14" si="5">C14</f>
        <v>0.01</v>
      </c>
      <c r="E14" s="540">
        <f t="shared" si="5"/>
        <v>0.01</v>
      </c>
      <c r="F14" s="540">
        <f t="shared" si="5"/>
        <v>0.01</v>
      </c>
      <c r="G14" s="540">
        <f t="shared" si="5"/>
        <v>0.01</v>
      </c>
      <c r="H14" s="540">
        <f t="shared" si="5"/>
        <v>0.01</v>
      </c>
      <c r="I14" s="540">
        <f t="shared" si="5"/>
        <v>0.01</v>
      </c>
      <c r="J14" s="540">
        <f t="shared" si="5"/>
        <v>0.01</v>
      </c>
      <c r="K14" s="540">
        <f t="shared" si="5"/>
        <v>0.01</v>
      </c>
      <c r="L14" s="540">
        <f t="shared" si="5"/>
        <v>0.01</v>
      </c>
      <c r="M14" s="540">
        <f t="shared" si="5"/>
        <v>0.01</v>
      </c>
      <c r="N14" s="540">
        <f t="shared" si="5"/>
        <v>0.01</v>
      </c>
      <c r="O14" s="540">
        <f t="shared" si="5"/>
        <v>0.01</v>
      </c>
      <c r="P14" s="540">
        <f t="shared" si="5"/>
        <v>0.01</v>
      </c>
      <c r="Q14" s="541">
        <f t="shared" si="5"/>
        <v>0.01</v>
      </c>
    </row>
    <row r="15" spans="2:17">
      <c r="B15" s="539" t="s">
        <v>131</v>
      </c>
      <c r="C15" s="612">
        <v>1.4999999999999999E-2</v>
      </c>
      <c r="D15" s="540">
        <f t="shared" ref="D15:Q15" si="6">C15</f>
        <v>1.4999999999999999E-2</v>
      </c>
      <c r="E15" s="540">
        <f t="shared" si="6"/>
        <v>1.4999999999999999E-2</v>
      </c>
      <c r="F15" s="540">
        <f t="shared" si="6"/>
        <v>1.4999999999999999E-2</v>
      </c>
      <c r="G15" s="540">
        <f t="shared" si="6"/>
        <v>1.4999999999999999E-2</v>
      </c>
      <c r="H15" s="540">
        <f t="shared" si="6"/>
        <v>1.4999999999999999E-2</v>
      </c>
      <c r="I15" s="540">
        <f t="shared" si="6"/>
        <v>1.4999999999999999E-2</v>
      </c>
      <c r="J15" s="540">
        <f t="shared" si="6"/>
        <v>1.4999999999999999E-2</v>
      </c>
      <c r="K15" s="540">
        <f t="shared" si="6"/>
        <v>1.4999999999999999E-2</v>
      </c>
      <c r="L15" s="540">
        <f t="shared" si="6"/>
        <v>1.4999999999999999E-2</v>
      </c>
      <c r="M15" s="540">
        <f t="shared" si="6"/>
        <v>1.4999999999999999E-2</v>
      </c>
      <c r="N15" s="540">
        <f t="shared" si="6"/>
        <v>1.4999999999999999E-2</v>
      </c>
      <c r="O15" s="540">
        <f t="shared" si="6"/>
        <v>1.4999999999999999E-2</v>
      </c>
      <c r="P15" s="540">
        <f t="shared" si="6"/>
        <v>1.4999999999999999E-2</v>
      </c>
      <c r="Q15" s="541">
        <f t="shared" si="6"/>
        <v>1.4999999999999999E-2</v>
      </c>
    </row>
    <row r="16" spans="2:17">
      <c r="B16" s="539" t="s">
        <v>132</v>
      </c>
      <c r="C16" s="612">
        <v>6.0000000000000001E-3</v>
      </c>
      <c r="D16" s="540">
        <f t="shared" ref="D16:Q16" si="7">C16</f>
        <v>6.0000000000000001E-3</v>
      </c>
      <c r="E16" s="540">
        <f t="shared" si="7"/>
        <v>6.0000000000000001E-3</v>
      </c>
      <c r="F16" s="540">
        <f t="shared" si="7"/>
        <v>6.0000000000000001E-3</v>
      </c>
      <c r="G16" s="540">
        <f t="shared" si="7"/>
        <v>6.0000000000000001E-3</v>
      </c>
      <c r="H16" s="540">
        <f t="shared" si="7"/>
        <v>6.0000000000000001E-3</v>
      </c>
      <c r="I16" s="540">
        <f t="shared" si="7"/>
        <v>6.0000000000000001E-3</v>
      </c>
      <c r="J16" s="540">
        <f t="shared" si="7"/>
        <v>6.0000000000000001E-3</v>
      </c>
      <c r="K16" s="540">
        <f t="shared" si="7"/>
        <v>6.0000000000000001E-3</v>
      </c>
      <c r="L16" s="540">
        <f t="shared" si="7"/>
        <v>6.0000000000000001E-3</v>
      </c>
      <c r="M16" s="540">
        <f t="shared" si="7"/>
        <v>6.0000000000000001E-3</v>
      </c>
      <c r="N16" s="540">
        <f t="shared" si="7"/>
        <v>6.0000000000000001E-3</v>
      </c>
      <c r="O16" s="540">
        <f t="shared" si="7"/>
        <v>6.0000000000000001E-3</v>
      </c>
      <c r="P16" s="540">
        <f t="shared" si="7"/>
        <v>6.0000000000000001E-3</v>
      </c>
      <c r="Q16" s="541">
        <f t="shared" si="7"/>
        <v>6.0000000000000001E-3</v>
      </c>
    </row>
    <row r="17" spans="2:17">
      <c r="B17" s="539" t="s">
        <v>133</v>
      </c>
      <c r="C17" s="612">
        <v>0.08</v>
      </c>
      <c r="D17" s="542">
        <f t="shared" ref="D17:Q17" si="8">C17</f>
        <v>0.08</v>
      </c>
      <c r="E17" s="542">
        <f t="shared" si="8"/>
        <v>0.08</v>
      </c>
      <c r="F17" s="542">
        <f t="shared" si="8"/>
        <v>0.08</v>
      </c>
      <c r="G17" s="542">
        <f t="shared" si="8"/>
        <v>0.08</v>
      </c>
      <c r="H17" s="542">
        <f t="shared" si="8"/>
        <v>0.08</v>
      </c>
      <c r="I17" s="542">
        <f t="shared" si="8"/>
        <v>0.08</v>
      </c>
      <c r="J17" s="542">
        <f t="shared" si="8"/>
        <v>0.08</v>
      </c>
      <c r="K17" s="542">
        <f t="shared" si="8"/>
        <v>0.08</v>
      </c>
      <c r="L17" s="542">
        <f t="shared" si="8"/>
        <v>0.08</v>
      </c>
      <c r="M17" s="542">
        <f t="shared" si="8"/>
        <v>0.08</v>
      </c>
      <c r="N17" s="542">
        <f t="shared" si="8"/>
        <v>0.08</v>
      </c>
      <c r="O17" s="542">
        <f t="shared" si="8"/>
        <v>0.08</v>
      </c>
      <c r="P17" s="542">
        <f t="shared" si="8"/>
        <v>0.08</v>
      </c>
      <c r="Q17" s="543">
        <f t="shared" si="8"/>
        <v>0.08</v>
      </c>
    </row>
    <row r="18" spans="2:17">
      <c r="B18" s="614" t="s">
        <v>134</v>
      </c>
      <c r="C18" s="613">
        <v>0</v>
      </c>
      <c r="D18" s="544">
        <f t="shared" ref="D18:Q18" si="9">C18</f>
        <v>0</v>
      </c>
      <c r="E18" s="544">
        <f t="shared" si="9"/>
        <v>0</v>
      </c>
      <c r="F18" s="544">
        <f t="shared" si="9"/>
        <v>0</v>
      </c>
      <c r="G18" s="544">
        <f t="shared" si="9"/>
        <v>0</v>
      </c>
      <c r="H18" s="544">
        <f t="shared" si="9"/>
        <v>0</v>
      </c>
      <c r="I18" s="544">
        <f t="shared" si="9"/>
        <v>0</v>
      </c>
      <c r="J18" s="544">
        <f t="shared" si="9"/>
        <v>0</v>
      </c>
      <c r="K18" s="544">
        <f t="shared" si="9"/>
        <v>0</v>
      </c>
      <c r="L18" s="544">
        <f t="shared" si="9"/>
        <v>0</v>
      </c>
      <c r="M18" s="544">
        <f t="shared" si="9"/>
        <v>0</v>
      </c>
      <c r="N18" s="544">
        <f t="shared" si="9"/>
        <v>0</v>
      </c>
      <c r="O18" s="544">
        <f t="shared" si="9"/>
        <v>0</v>
      </c>
      <c r="P18" s="544">
        <f t="shared" si="9"/>
        <v>0</v>
      </c>
      <c r="Q18" s="545">
        <f t="shared" si="9"/>
        <v>0</v>
      </c>
    </row>
    <row r="19" spans="2:17">
      <c r="B19" s="285" t="s">
        <v>112</v>
      </c>
      <c r="C19" s="254">
        <f>SUM(C10:C18)</f>
        <v>0.16800000000000001</v>
      </c>
      <c r="D19" s="254">
        <f t="shared" ref="D19:Q19" si="10">SUM(D10:D18)</f>
        <v>0.36800000000000005</v>
      </c>
      <c r="E19" s="254">
        <f t="shared" si="10"/>
        <v>0.36800000000000005</v>
      </c>
      <c r="F19" s="254">
        <f t="shared" si="10"/>
        <v>0.36800000000000005</v>
      </c>
      <c r="G19" s="254">
        <f t="shared" si="10"/>
        <v>0.36800000000000005</v>
      </c>
      <c r="H19" s="254">
        <f t="shared" si="10"/>
        <v>0.36800000000000005</v>
      </c>
      <c r="I19" s="254">
        <f t="shared" si="10"/>
        <v>0.36800000000000005</v>
      </c>
      <c r="J19" s="254">
        <f t="shared" si="10"/>
        <v>0.36800000000000005</v>
      </c>
      <c r="K19" s="254">
        <f t="shared" si="10"/>
        <v>0.36800000000000005</v>
      </c>
      <c r="L19" s="254">
        <f t="shared" si="10"/>
        <v>0.36800000000000005</v>
      </c>
      <c r="M19" s="254">
        <f t="shared" si="10"/>
        <v>0.36800000000000005</v>
      </c>
      <c r="N19" s="254">
        <f t="shared" si="10"/>
        <v>0.36800000000000005</v>
      </c>
      <c r="O19" s="254">
        <f t="shared" si="10"/>
        <v>0.36800000000000005</v>
      </c>
      <c r="P19" s="254">
        <f t="shared" si="10"/>
        <v>0.36800000000000005</v>
      </c>
      <c r="Q19" s="255">
        <f t="shared" si="10"/>
        <v>0.36800000000000005</v>
      </c>
    </row>
    <row r="20" spans="2:17">
      <c r="B20" s="408"/>
    </row>
    <row r="21" spans="2:17">
      <c r="B21" s="579" t="s">
        <v>135</v>
      </c>
      <c r="C21" s="596"/>
      <c r="D21" s="596"/>
      <c r="E21" s="596"/>
      <c r="F21" s="596"/>
      <c r="G21" s="596"/>
      <c r="H21" s="596"/>
      <c r="I21" s="596"/>
      <c r="J21" s="596"/>
      <c r="K21" s="596"/>
      <c r="L21" s="596"/>
      <c r="M21" s="596"/>
      <c r="N21" s="596"/>
      <c r="O21" s="596"/>
      <c r="P21" s="596"/>
      <c r="Q21" s="596"/>
    </row>
    <row r="22" spans="2:17">
      <c r="B22" s="536" t="s">
        <v>136</v>
      </c>
      <c r="C22" s="611">
        <v>2.7799999999999998E-2</v>
      </c>
      <c r="D22" s="537">
        <f t="shared" ref="D22:Q22" si="11">C22</f>
        <v>2.7799999999999998E-2</v>
      </c>
      <c r="E22" s="537">
        <f t="shared" si="11"/>
        <v>2.7799999999999998E-2</v>
      </c>
      <c r="F22" s="537">
        <f t="shared" si="11"/>
        <v>2.7799999999999998E-2</v>
      </c>
      <c r="G22" s="537">
        <f t="shared" si="11"/>
        <v>2.7799999999999998E-2</v>
      </c>
      <c r="H22" s="537">
        <f t="shared" si="11"/>
        <v>2.7799999999999998E-2</v>
      </c>
      <c r="I22" s="537">
        <f t="shared" si="11"/>
        <v>2.7799999999999998E-2</v>
      </c>
      <c r="J22" s="537">
        <f t="shared" si="11"/>
        <v>2.7799999999999998E-2</v>
      </c>
      <c r="K22" s="537">
        <f t="shared" si="11"/>
        <v>2.7799999999999998E-2</v>
      </c>
      <c r="L22" s="537">
        <f t="shared" si="11"/>
        <v>2.7799999999999998E-2</v>
      </c>
      <c r="M22" s="537">
        <f t="shared" si="11"/>
        <v>2.7799999999999998E-2</v>
      </c>
      <c r="N22" s="537">
        <f t="shared" si="11"/>
        <v>2.7799999999999998E-2</v>
      </c>
      <c r="O22" s="537">
        <f t="shared" si="11"/>
        <v>2.7799999999999998E-2</v>
      </c>
      <c r="P22" s="537">
        <f t="shared" si="11"/>
        <v>2.7799999999999998E-2</v>
      </c>
      <c r="Q22" s="538">
        <f t="shared" si="11"/>
        <v>2.7799999999999998E-2</v>
      </c>
    </row>
    <row r="23" spans="2:17">
      <c r="B23" s="539" t="s">
        <v>137</v>
      </c>
      <c r="C23" s="612">
        <v>1.1000000000000001E-3</v>
      </c>
      <c r="D23" s="540">
        <f t="shared" ref="D23:Q23" si="12">C23</f>
        <v>1.1000000000000001E-3</v>
      </c>
      <c r="E23" s="540">
        <f t="shared" si="12"/>
        <v>1.1000000000000001E-3</v>
      </c>
      <c r="F23" s="540">
        <f t="shared" si="12"/>
        <v>1.1000000000000001E-3</v>
      </c>
      <c r="G23" s="540">
        <f t="shared" si="12"/>
        <v>1.1000000000000001E-3</v>
      </c>
      <c r="H23" s="540">
        <f t="shared" si="12"/>
        <v>1.1000000000000001E-3</v>
      </c>
      <c r="I23" s="540">
        <f t="shared" si="12"/>
        <v>1.1000000000000001E-3</v>
      </c>
      <c r="J23" s="540">
        <f t="shared" si="12"/>
        <v>1.1000000000000001E-3</v>
      </c>
      <c r="K23" s="540">
        <f t="shared" si="12"/>
        <v>1.1000000000000001E-3</v>
      </c>
      <c r="L23" s="540">
        <f t="shared" si="12"/>
        <v>1.1000000000000001E-3</v>
      </c>
      <c r="M23" s="540">
        <f t="shared" si="12"/>
        <v>1.1000000000000001E-3</v>
      </c>
      <c r="N23" s="540">
        <f t="shared" si="12"/>
        <v>1.1000000000000001E-3</v>
      </c>
      <c r="O23" s="540">
        <f t="shared" si="12"/>
        <v>1.1000000000000001E-3</v>
      </c>
      <c r="P23" s="540">
        <f t="shared" si="12"/>
        <v>1.1000000000000001E-3</v>
      </c>
      <c r="Q23" s="541">
        <f t="shared" si="12"/>
        <v>1.1000000000000001E-3</v>
      </c>
    </row>
    <row r="24" spans="2:17">
      <c r="B24" s="539" t="s">
        <v>138</v>
      </c>
      <c r="C24" s="612">
        <v>4.0000000000000002E-4</v>
      </c>
      <c r="D24" s="540">
        <f t="shared" ref="D24:Q24" si="13">C24</f>
        <v>4.0000000000000002E-4</v>
      </c>
      <c r="E24" s="540">
        <f t="shared" si="13"/>
        <v>4.0000000000000002E-4</v>
      </c>
      <c r="F24" s="540">
        <f t="shared" si="13"/>
        <v>4.0000000000000002E-4</v>
      </c>
      <c r="G24" s="540">
        <f t="shared" si="13"/>
        <v>4.0000000000000002E-4</v>
      </c>
      <c r="H24" s="540">
        <f t="shared" si="13"/>
        <v>4.0000000000000002E-4</v>
      </c>
      <c r="I24" s="540">
        <f t="shared" si="13"/>
        <v>4.0000000000000002E-4</v>
      </c>
      <c r="J24" s="540">
        <f t="shared" si="13"/>
        <v>4.0000000000000002E-4</v>
      </c>
      <c r="K24" s="540">
        <f t="shared" si="13"/>
        <v>4.0000000000000002E-4</v>
      </c>
      <c r="L24" s="540">
        <f t="shared" si="13"/>
        <v>4.0000000000000002E-4</v>
      </c>
      <c r="M24" s="540">
        <f t="shared" si="13"/>
        <v>4.0000000000000002E-4</v>
      </c>
      <c r="N24" s="540">
        <f t="shared" si="13"/>
        <v>4.0000000000000002E-4</v>
      </c>
      <c r="O24" s="540">
        <f t="shared" si="13"/>
        <v>4.0000000000000002E-4</v>
      </c>
      <c r="P24" s="540">
        <f t="shared" si="13"/>
        <v>4.0000000000000002E-4</v>
      </c>
      <c r="Q24" s="541">
        <f t="shared" si="13"/>
        <v>4.0000000000000002E-4</v>
      </c>
    </row>
    <row r="25" spans="2:17">
      <c r="B25" s="539" t="s">
        <v>139</v>
      </c>
      <c r="C25" s="612">
        <v>1E-4</v>
      </c>
      <c r="D25" s="540">
        <f t="shared" ref="D25:Q25" si="14">C25</f>
        <v>1E-4</v>
      </c>
      <c r="E25" s="540">
        <f t="shared" si="14"/>
        <v>1E-4</v>
      </c>
      <c r="F25" s="540">
        <f t="shared" si="14"/>
        <v>1E-4</v>
      </c>
      <c r="G25" s="540">
        <f t="shared" si="14"/>
        <v>1E-4</v>
      </c>
      <c r="H25" s="540">
        <f t="shared" si="14"/>
        <v>1E-4</v>
      </c>
      <c r="I25" s="540">
        <f t="shared" si="14"/>
        <v>1E-4</v>
      </c>
      <c r="J25" s="540">
        <f t="shared" si="14"/>
        <v>1E-4</v>
      </c>
      <c r="K25" s="540">
        <f t="shared" si="14"/>
        <v>1E-4</v>
      </c>
      <c r="L25" s="540">
        <f t="shared" si="14"/>
        <v>1E-4</v>
      </c>
      <c r="M25" s="540">
        <f t="shared" si="14"/>
        <v>1E-4</v>
      </c>
      <c r="N25" s="540">
        <f t="shared" si="14"/>
        <v>1E-4</v>
      </c>
      <c r="O25" s="540">
        <f t="shared" si="14"/>
        <v>1E-4</v>
      </c>
      <c r="P25" s="540">
        <f t="shared" si="14"/>
        <v>1E-4</v>
      </c>
      <c r="Q25" s="541">
        <f t="shared" si="14"/>
        <v>1E-4</v>
      </c>
    </row>
    <row r="26" spans="2:17">
      <c r="B26" s="539" t="s">
        <v>140</v>
      </c>
      <c r="C26" s="612">
        <v>2.0000000000000001E-4</v>
      </c>
      <c r="D26" s="540">
        <f t="shared" ref="D26:Q26" si="15">C26</f>
        <v>2.0000000000000001E-4</v>
      </c>
      <c r="E26" s="540">
        <f t="shared" si="15"/>
        <v>2.0000000000000001E-4</v>
      </c>
      <c r="F26" s="540">
        <f t="shared" si="15"/>
        <v>2.0000000000000001E-4</v>
      </c>
      <c r="G26" s="540">
        <f t="shared" si="15"/>
        <v>2.0000000000000001E-4</v>
      </c>
      <c r="H26" s="540">
        <f t="shared" si="15"/>
        <v>2.0000000000000001E-4</v>
      </c>
      <c r="I26" s="540">
        <f t="shared" si="15"/>
        <v>2.0000000000000001E-4</v>
      </c>
      <c r="J26" s="540">
        <f t="shared" si="15"/>
        <v>2.0000000000000001E-4</v>
      </c>
      <c r="K26" s="540">
        <f t="shared" si="15"/>
        <v>2.0000000000000001E-4</v>
      </c>
      <c r="L26" s="540">
        <f t="shared" si="15"/>
        <v>2.0000000000000001E-4</v>
      </c>
      <c r="M26" s="540">
        <f t="shared" si="15"/>
        <v>2.0000000000000001E-4</v>
      </c>
      <c r="N26" s="540">
        <f t="shared" si="15"/>
        <v>2.0000000000000001E-4</v>
      </c>
      <c r="O26" s="540">
        <f t="shared" si="15"/>
        <v>2.0000000000000001E-4</v>
      </c>
      <c r="P26" s="540">
        <f t="shared" si="15"/>
        <v>2.0000000000000001E-4</v>
      </c>
      <c r="Q26" s="541">
        <f t="shared" si="15"/>
        <v>2.0000000000000001E-4</v>
      </c>
    </row>
    <row r="27" spans="2:17">
      <c r="B27" s="539" t="s">
        <v>141</v>
      </c>
      <c r="C27" s="612">
        <v>8.3299999999999999E-2</v>
      </c>
      <c r="D27" s="540">
        <f t="shared" ref="D27:Q27" si="16">C27</f>
        <v>8.3299999999999999E-2</v>
      </c>
      <c r="E27" s="540">
        <f t="shared" si="16"/>
        <v>8.3299999999999999E-2</v>
      </c>
      <c r="F27" s="540">
        <f t="shared" si="16"/>
        <v>8.3299999999999999E-2</v>
      </c>
      <c r="G27" s="540">
        <f t="shared" si="16"/>
        <v>8.3299999999999999E-2</v>
      </c>
      <c r="H27" s="540">
        <f t="shared" si="16"/>
        <v>8.3299999999999999E-2</v>
      </c>
      <c r="I27" s="540">
        <f t="shared" si="16"/>
        <v>8.3299999999999999E-2</v>
      </c>
      <c r="J27" s="540">
        <f t="shared" si="16"/>
        <v>8.3299999999999999E-2</v>
      </c>
      <c r="K27" s="540">
        <f t="shared" si="16"/>
        <v>8.3299999999999999E-2</v>
      </c>
      <c r="L27" s="540">
        <f t="shared" si="16"/>
        <v>8.3299999999999999E-2</v>
      </c>
      <c r="M27" s="540">
        <f t="shared" si="16"/>
        <v>8.3299999999999999E-2</v>
      </c>
      <c r="N27" s="540">
        <f t="shared" si="16"/>
        <v>8.3299999999999999E-2</v>
      </c>
      <c r="O27" s="540">
        <f t="shared" si="16"/>
        <v>8.3299999999999999E-2</v>
      </c>
      <c r="P27" s="540">
        <f t="shared" si="16"/>
        <v>8.3299999999999999E-2</v>
      </c>
      <c r="Q27" s="541">
        <f t="shared" si="16"/>
        <v>8.3299999999999999E-2</v>
      </c>
    </row>
    <row r="28" spans="2:17">
      <c r="B28" s="539" t="s">
        <v>142</v>
      </c>
      <c r="C28" s="612">
        <v>2.24E-2</v>
      </c>
      <c r="D28" s="540">
        <f t="shared" ref="D28:Q28" si="17">C28</f>
        <v>2.24E-2</v>
      </c>
      <c r="E28" s="540">
        <f t="shared" si="17"/>
        <v>2.24E-2</v>
      </c>
      <c r="F28" s="540">
        <f t="shared" si="17"/>
        <v>2.24E-2</v>
      </c>
      <c r="G28" s="540">
        <f t="shared" si="17"/>
        <v>2.24E-2</v>
      </c>
      <c r="H28" s="540">
        <f t="shared" si="17"/>
        <v>2.24E-2</v>
      </c>
      <c r="I28" s="540">
        <f t="shared" si="17"/>
        <v>2.24E-2</v>
      </c>
      <c r="J28" s="540">
        <f t="shared" si="17"/>
        <v>2.24E-2</v>
      </c>
      <c r="K28" s="540">
        <f t="shared" si="17"/>
        <v>2.24E-2</v>
      </c>
      <c r="L28" s="540">
        <f t="shared" si="17"/>
        <v>2.24E-2</v>
      </c>
      <c r="M28" s="540">
        <f t="shared" si="17"/>
        <v>2.24E-2</v>
      </c>
      <c r="N28" s="540">
        <f t="shared" si="17"/>
        <v>2.24E-2</v>
      </c>
      <c r="O28" s="540">
        <f t="shared" si="17"/>
        <v>2.24E-2</v>
      </c>
      <c r="P28" s="540">
        <f t="shared" si="17"/>
        <v>2.24E-2</v>
      </c>
      <c r="Q28" s="541">
        <f t="shared" si="17"/>
        <v>2.24E-2</v>
      </c>
    </row>
    <row r="29" spans="2:17">
      <c r="B29" s="614" t="s">
        <v>134</v>
      </c>
      <c r="C29" s="613">
        <v>0</v>
      </c>
      <c r="D29" s="544">
        <f t="shared" ref="D29:Q29" si="18">C29</f>
        <v>0</v>
      </c>
      <c r="E29" s="544">
        <f t="shared" si="18"/>
        <v>0</v>
      </c>
      <c r="F29" s="544">
        <f t="shared" si="18"/>
        <v>0</v>
      </c>
      <c r="G29" s="544">
        <f t="shared" si="18"/>
        <v>0</v>
      </c>
      <c r="H29" s="544">
        <f t="shared" si="18"/>
        <v>0</v>
      </c>
      <c r="I29" s="544">
        <f t="shared" si="18"/>
        <v>0</v>
      </c>
      <c r="J29" s="544">
        <f t="shared" si="18"/>
        <v>0</v>
      </c>
      <c r="K29" s="544">
        <f t="shared" si="18"/>
        <v>0</v>
      </c>
      <c r="L29" s="544">
        <f t="shared" si="18"/>
        <v>0</v>
      </c>
      <c r="M29" s="544">
        <f t="shared" si="18"/>
        <v>0</v>
      </c>
      <c r="N29" s="544">
        <f t="shared" si="18"/>
        <v>0</v>
      </c>
      <c r="O29" s="544">
        <f t="shared" si="18"/>
        <v>0</v>
      </c>
      <c r="P29" s="544">
        <f t="shared" si="18"/>
        <v>0</v>
      </c>
      <c r="Q29" s="545">
        <f t="shared" si="18"/>
        <v>0</v>
      </c>
    </row>
    <row r="30" spans="2:17">
      <c r="B30" s="285" t="s">
        <v>112</v>
      </c>
      <c r="C30" s="254">
        <f>SUM(C22:C29)</f>
        <v>0.1353</v>
      </c>
      <c r="D30" s="254">
        <f t="shared" ref="D30:Q30" si="19">SUM(D22:D29)</f>
        <v>0.1353</v>
      </c>
      <c r="E30" s="254">
        <f t="shared" si="19"/>
        <v>0.1353</v>
      </c>
      <c r="F30" s="254">
        <f t="shared" si="19"/>
        <v>0.1353</v>
      </c>
      <c r="G30" s="254">
        <f t="shared" si="19"/>
        <v>0.1353</v>
      </c>
      <c r="H30" s="254">
        <f t="shared" si="19"/>
        <v>0.1353</v>
      </c>
      <c r="I30" s="254">
        <f t="shared" si="19"/>
        <v>0.1353</v>
      </c>
      <c r="J30" s="254">
        <f t="shared" si="19"/>
        <v>0.1353</v>
      </c>
      <c r="K30" s="254">
        <f t="shared" si="19"/>
        <v>0.1353</v>
      </c>
      <c r="L30" s="254">
        <f t="shared" si="19"/>
        <v>0.1353</v>
      </c>
      <c r="M30" s="254">
        <f t="shared" si="19"/>
        <v>0.1353</v>
      </c>
      <c r="N30" s="254">
        <f t="shared" si="19"/>
        <v>0.1353</v>
      </c>
      <c r="O30" s="254">
        <f t="shared" si="19"/>
        <v>0.1353</v>
      </c>
      <c r="P30" s="254">
        <f t="shared" si="19"/>
        <v>0.1353</v>
      </c>
      <c r="Q30" s="255">
        <f t="shared" si="19"/>
        <v>0.1353</v>
      </c>
    </row>
    <row r="31" spans="2:17">
      <c r="B31" s="408"/>
      <c r="C31" s="547"/>
    </row>
    <row r="32" spans="2:17">
      <c r="B32" s="579" t="s">
        <v>143</v>
      </c>
      <c r="C32" s="596"/>
      <c r="D32" s="596"/>
      <c r="E32" s="596"/>
      <c r="F32" s="596"/>
      <c r="G32" s="596"/>
      <c r="H32" s="596"/>
      <c r="I32" s="596"/>
      <c r="J32" s="596"/>
      <c r="K32" s="596"/>
      <c r="L32" s="596"/>
      <c r="M32" s="596"/>
      <c r="N32" s="596"/>
      <c r="O32" s="596"/>
      <c r="P32" s="596"/>
      <c r="Q32" s="596"/>
    </row>
    <row r="33" spans="2:18">
      <c r="B33" s="536" t="s">
        <v>144</v>
      </c>
      <c r="C33" s="611">
        <v>4.6300000000000001E-2</v>
      </c>
      <c r="D33" s="537">
        <f t="shared" ref="D33:Q33" si="20">C33</f>
        <v>4.6300000000000001E-2</v>
      </c>
      <c r="E33" s="537">
        <f t="shared" si="20"/>
        <v>4.6300000000000001E-2</v>
      </c>
      <c r="F33" s="537">
        <f t="shared" si="20"/>
        <v>4.6300000000000001E-2</v>
      </c>
      <c r="G33" s="537">
        <f t="shared" si="20"/>
        <v>4.6300000000000001E-2</v>
      </c>
      <c r="H33" s="537">
        <f t="shared" si="20"/>
        <v>4.6300000000000001E-2</v>
      </c>
      <c r="I33" s="537">
        <f t="shared" si="20"/>
        <v>4.6300000000000001E-2</v>
      </c>
      <c r="J33" s="537">
        <f t="shared" si="20"/>
        <v>4.6300000000000001E-2</v>
      </c>
      <c r="K33" s="537">
        <f t="shared" si="20"/>
        <v>4.6300000000000001E-2</v>
      </c>
      <c r="L33" s="537">
        <f t="shared" si="20"/>
        <v>4.6300000000000001E-2</v>
      </c>
      <c r="M33" s="537">
        <f t="shared" si="20"/>
        <v>4.6300000000000001E-2</v>
      </c>
      <c r="N33" s="537">
        <f t="shared" si="20"/>
        <v>4.6300000000000001E-2</v>
      </c>
      <c r="O33" s="537">
        <f t="shared" si="20"/>
        <v>4.6300000000000001E-2</v>
      </c>
      <c r="P33" s="537">
        <f t="shared" si="20"/>
        <v>4.6300000000000001E-2</v>
      </c>
      <c r="Q33" s="538">
        <f t="shared" si="20"/>
        <v>4.6300000000000001E-2</v>
      </c>
    </row>
    <row r="34" spans="2:18">
      <c r="B34" s="539" t="s">
        <v>145</v>
      </c>
      <c r="C34" s="612">
        <v>4.5999999999999999E-2</v>
      </c>
      <c r="D34" s="540">
        <f t="shared" ref="D34:Q34" si="21">C34</f>
        <v>4.5999999999999999E-2</v>
      </c>
      <c r="E34" s="540">
        <f t="shared" si="21"/>
        <v>4.5999999999999999E-2</v>
      </c>
      <c r="F34" s="540">
        <f t="shared" si="21"/>
        <v>4.5999999999999999E-2</v>
      </c>
      <c r="G34" s="540">
        <f t="shared" si="21"/>
        <v>4.5999999999999999E-2</v>
      </c>
      <c r="H34" s="540">
        <f t="shared" si="21"/>
        <v>4.5999999999999999E-2</v>
      </c>
      <c r="I34" s="540">
        <f t="shared" si="21"/>
        <v>4.5999999999999999E-2</v>
      </c>
      <c r="J34" s="540">
        <f t="shared" si="21"/>
        <v>4.5999999999999999E-2</v>
      </c>
      <c r="K34" s="540">
        <f t="shared" si="21"/>
        <v>4.5999999999999999E-2</v>
      </c>
      <c r="L34" s="540">
        <f t="shared" si="21"/>
        <v>4.5999999999999999E-2</v>
      </c>
      <c r="M34" s="540">
        <f t="shared" si="21"/>
        <v>4.5999999999999999E-2</v>
      </c>
      <c r="N34" s="540">
        <f t="shared" si="21"/>
        <v>4.5999999999999999E-2</v>
      </c>
      <c r="O34" s="540">
        <f t="shared" si="21"/>
        <v>4.5999999999999999E-2</v>
      </c>
      <c r="P34" s="540">
        <f t="shared" si="21"/>
        <v>4.5999999999999999E-2</v>
      </c>
      <c r="Q34" s="541">
        <f t="shared" si="21"/>
        <v>4.5999999999999999E-2</v>
      </c>
    </row>
    <row r="35" spans="2:18">
      <c r="B35" s="539" t="s">
        <v>146</v>
      </c>
      <c r="C35" s="612">
        <v>8.8000000000000005E-3</v>
      </c>
      <c r="D35" s="540">
        <f t="shared" ref="D35:Q35" si="22">C35</f>
        <v>8.8000000000000005E-3</v>
      </c>
      <c r="E35" s="540">
        <f t="shared" si="22"/>
        <v>8.8000000000000005E-3</v>
      </c>
      <c r="F35" s="540">
        <f t="shared" si="22"/>
        <v>8.8000000000000005E-3</v>
      </c>
      <c r="G35" s="540">
        <f t="shared" si="22"/>
        <v>8.8000000000000005E-3</v>
      </c>
      <c r="H35" s="540">
        <f t="shared" si="22"/>
        <v>8.8000000000000005E-3</v>
      </c>
      <c r="I35" s="540">
        <f t="shared" si="22"/>
        <v>8.8000000000000005E-3</v>
      </c>
      <c r="J35" s="540">
        <f t="shared" si="22"/>
        <v>8.8000000000000005E-3</v>
      </c>
      <c r="K35" s="540">
        <f t="shared" si="22"/>
        <v>8.8000000000000005E-3</v>
      </c>
      <c r="L35" s="540">
        <f t="shared" si="22"/>
        <v>8.8000000000000005E-3</v>
      </c>
      <c r="M35" s="540">
        <f t="shared" si="22"/>
        <v>8.8000000000000005E-3</v>
      </c>
      <c r="N35" s="540">
        <f t="shared" si="22"/>
        <v>8.8000000000000005E-3</v>
      </c>
      <c r="O35" s="540">
        <f t="shared" si="22"/>
        <v>8.8000000000000005E-3</v>
      </c>
      <c r="P35" s="540">
        <f t="shared" si="22"/>
        <v>8.8000000000000005E-3</v>
      </c>
      <c r="Q35" s="541">
        <f t="shared" si="22"/>
        <v>8.8000000000000005E-3</v>
      </c>
    </row>
    <row r="36" spans="2:18">
      <c r="B36" s="614" t="s">
        <v>134</v>
      </c>
      <c r="C36" s="613">
        <v>0</v>
      </c>
      <c r="D36" s="544">
        <f t="shared" ref="D36:Q36" si="23">C36</f>
        <v>0</v>
      </c>
      <c r="E36" s="544">
        <f t="shared" si="23"/>
        <v>0</v>
      </c>
      <c r="F36" s="544">
        <f t="shared" si="23"/>
        <v>0</v>
      </c>
      <c r="G36" s="544">
        <f t="shared" si="23"/>
        <v>0</v>
      </c>
      <c r="H36" s="544">
        <f t="shared" si="23"/>
        <v>0</v>
      </c>
      <c r="I36" s="544">
        <f t="shared" si="23"/>
        <v>0</v>
      </c>
      <c r="J36" s="544">
        <f t="shared" si="23"/>
        <v>0</v>
      </c>
      <c r="K36" s="544">
        <f t="shared" si="23"/>
        <v>0</v>
      </c>
      <c r="L36" s="544">
        <f t="shared" si="23"/>
        <v>0</v>
      </c>
      <c r="M36" s="544">
        <f t="shared" si="23"/>
        <v>0</v>
      </c>
      <c r="N36" s="544">
        <f t="shared" si="23"/>
        <v>0</v>
      </c>
      <c r="O36" s="544">
        <f t="shared" si="23"/>
        <v>0</v>
      </c>
      <c r="P36" s="544">
        <f t="shared" si="23"/>
        <v>0</v>
      </c>
      <c r="Q36" s="545">
        <f t="shared" si="23"/>
        <v>0</v>
      </c>
    </row>
    <row r="37" spans="2:18">
      <c r="B37" s="285" t="s">
        <v>112</v>
      </c>
      <c r="C37" s="254">
        <f>SUM(C33:C36)</f>
        <v>0.1011</v>
      </c>
      <c r="D37" s="254">
        <f t="shared" ref="D37:Q37" si="24">SUM(D33:D36)</f>
        <v>0.1011</v>
      </c>
      <c r="E37" s="254">
        <f t="shared" si="24"/>
        <v>0.1011</v>
      </c>
      <c r="F37" s="254">
        <f t="shared" si="24"/>
        <v>0.1011</v>
      </c>
      <c r="G37" s="254">
        <f t="shared" si="24"/>
        <v>0.1011</v>
      </c>
      <c r="H37" s="254">
        <f t="shared" si="24"/>
        <v>0.1011</v>
      </c>
      <c r="I37" s="254">
        <f t="shared" si="24"/>
        <v>0.1011</v>
      </c>
      <c r="J37" s="254">
        <f t="shared" si="24"/>
        <v>0.1011</v>
      </c>
      <c r="K37" s="254">
        <f t="shared" si="24"/>
        <v>0.1011</v>
      </c>
      <c r="L37" s="254">
        <f t="shared" si="24"/>
        <v>0.1011</v>
      </c>
      <c r="M37" s="254">
        <f t="shared" si="24"/>
        <v>0.1011</v>
      </c>
      <c r="N37" s="254">
        <f t="shared" si="24"/>
        <v>0.1011</v>
      </c>
      <c r="O37" s="254">
        <f t="shared" si="24"/>
        <v>0.1011</v>
      </c>
      <c r="P37" s="254">
        <f t="shared" si="24"/>
        <v>0.1011</v>
      </c>
      <c r="Q37" s="255">
        <f t="shared" si="24"/>
        <v>0.1011</v>
      </c>
      <c r="R37" s="256"/>
    </row>
    <row r="38" spans="2:18">
      <c r="B38" s="408"/>
      <c r="D38" s="547"/>
    </row>
    <row r="39" spans="2:18">
      <c r="B39" s="579" t="s">
        <v>147</v>
      </c>
      <c r="C39" s="596"/>
      <c r="D39" s="596"/>
      <c r="E39" s="596"/>
      <c r="F39" s="596"/>
      <c r="G39" s="596"/>
      <c r="H39" s="596"/>
      <c r="I39" s="596"/>
      <c r="J39" s="596"/>
      <c r="K39" s="596"/>
      <c r="L39" s="596"/>
      <c r="M39" s="596"/>
      <c r="N39" s="596"/>
      <c r="O39" s="596"/>
      <c r="P39" s="596"/>
      <c r="Q39" s="596"/>
    </row>
    <row r="40" spans="2:18">
      <c r="B40" s="548" t="s">
        <v>148</v>
      </c>
      <c r="C40" s="549">
        <f>+C30*C19</f>
        <v>2.2730400000000001E-2</v>
      </c>
      <c r="D40" s="549">
        <f t="shared" ref="D40:Q40" si="25">+D30*D19</f>
        <v>4.9790400000000005E-2</v>
      </c>
      <c r="E40" s="549">
        <f t="shared" si="25"/>
        <v>4.9790400000000005E-2</v>
      </c>
      <c r="F40" s="549">
        <f t="shared" si="25"/>
        <v>4.9790400000000005E-2</v>
      </c>
      <c r="G40" s="549">
        <f t="shared" si="25"/>
        <v>4.9790400000000005E-2</v>
      </c>
      <c r="H40" s="549">
        <f t="shared" si="25"/>
        <v>4.9790400000000005E-2</v>
      </c>
      <c r="I40" s="549">
        <f t="shared" si="25"/>
        <v>4.9790400000000005E-2</v>
      </c>
      <c r="J40" s="549">
        <f t="shared" si="25"/>
        <v>4.9790400000000005E-2</v>
      </c>
      <c r="K40" s="549">
        <f t="shared" si="25"/>
        <v>4.9790400000000005E-2</v>
      </c>
      <c r="L40" s="549">
        <f t="shared" si="25"/>
        <v>4.9790400000000005E-2</v>
      </c>
      <c r="M40" s="549">
        <f t="shared" si="25"/>
        <v>4.9790400000000005E-2</v>
      </c>
      <c r="N40" s="549">
        <f t="shared" si="25"/>
        <v>4.9790400000000005E-2</v>
      </c>
      <c r="O40" s="549">
        <f t="shared" si="25"/>
        <v>4.9790400000000005E-2</v>
      </c>
      <c r="P40" s="549">
        <f t="shared" si="25"/>
        <v>4.9790400000000005E-2</v>
      </c>
      <c r="Q40" s="550">
        <f t="shared" si="25"/>
        <v>4.9790400000000005E-2</v>
      </c>
    </row>
    <row r="41" spans="2:18">
      <c r="B41" s="408"/>
    </row>
    <row r="42" spans="2:18" ht="18" customHeight="1">
      <c r="B42" s="285" t="s">
        <v>197</v>
      </c>
      <c r="C42" s="254">
        <f>ROUND(SUM(C19,C30,C37,C40),5)</f>
        <v>0.42713000000000001</v>
      </c>
      <c r="D42" s="254">
        <f t="shared" ref="D42:Q42" si="26">ROUND(SUM(D19,D30,D37,D40),5)</f>
        <v>0.65419000000000005</v>
      </c>
      <c r="E42" s="254">
        <f t="shared" si="26"/>
        <v>0.65419000000000005</v>
      </c>
      <c r="F42" s="254">
        <f t="shared" si="26"/>
        <v>0.65419000000000005</v>
      </c>
      <c r="G42" s="254">
        <f t="shared" si="26"/>
        <v>0.65419000000000005</v>
      </c>
      <c r="H42" s="254">
        <f t="shared" si="26"/>
        <v>0.65419000000000005</v>
      </c>
      <c r="I42" s="254">
        <f t="shared" si="26"/>
        <v>0.65419000000000005</v>
      </c>
      <c r="J42" s="254">
        <f t="shared" si="26"/>
        <v>0.65419000000000005</v>
      </c>
      <c r="K42" s="254">
        <f t="shared" si="26"/>
        <v>0.65419000000000005</v>
      </c>
      <c r="L42" s="254">
        <f t="shared" si="26"/>
        <v>0.65419000000000005</v>
      </c>
      <c r="M42" s="254">
        <f t="shared" si="26"/>
        <v>0.65419000000000005</v>
      </c>
      <c r="N42" s="254">
        <f t="shared" si="26"/>
        <v>0.65419000000000005</v>
      </c>
      <c r="O42" s="254">
        <f t="shared" si="26"/>
        <v>0.65419000000000005</v>
      </c>
      <c r="P42" s="254">
        <f t="shared" si="26"/>
        <v>0.65419000000000005</v>
      </c>
      <c r="Q42" s="255">
        <f t="shared" si="26"/>
        <v>0.65419000000000005</v>
      </c>
    </row>
  </sheetData>
  <pageMargins left="0.51181102362204722" right="0.51181102362204722" top="0.78740157480314965" bottom="0.78740157480314965" header="0.31496062992125984" footer="0.31496062992125984"/>
  <pageSetup paperSize="9" scale="78" orientation="landscape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Q24"/>
  <sheetViews>
    <sheetView showGridLines="0" view="pageBreakPreview" zoomScale="120" zoomScaleNormal="100" zoomScaleSheetLayoutView="120" workbookViewId="0">
      <selection activeCell="F16" sqref="F16"/>
    </sheetView>
  </sheetViews>
  <sheetFormatPr defaultRowHeight="12.75"/>
  <cols>
    <col min="1" max="1" width="1.140625" style="2" customWidth="1"/>
    <col min="2" max="2" width="2.42578125" style="2" customWidth="1"/>
    <col min="3" max="3" width="16.28515625" style="2" customWidth="1"/>
    <col min="4" max="4" width="17.5703125" style="2" customWidth="1"/>
    <col min="5" max="14" width="8.7109375" style="2" customWidth="1"/>
    <col min="15" max="16384" width="9.140625" style="2"/>
  </cols>
  <sheetData>
    <row r="1" spans="2:17">
      <c r="B1" s="1"/>
      <c r="C1" s="1"/>
      <c r="D1" s="1"/>
      <c r="E1" s="1"/>
      <c r="F1" s="1"/>
      <c r="G1" s="1"/>
      <c r="H1" s="1"/>
    </row>
    <row r="2" spans="2:17" ht="15">
      <c r="B2" s="1"/>
      <c r="C2" s="1"/>
      <c r="D2" s="1"/>
      <c r="E2" s="403" t="s">
        <v>365</v>
      </c>
      <c r="F2" s="1"/>
      <c r="G2" s="1"/>
      <c r="H2" s="1"/>
    </row>
    <row r="3" spans="2:17" ht="15">
      <c r="B3" s="1"/>
      <c r="C3" s="1"/>
      <c r="D3" s="1"/>
      <c r="E3" s="403" t="str">
        <f>MENU!$B$3&amp;"  -  "&amp;+MENU!$B$4</f>
        <v xml:space="preserve">CONCORRÊNCIA Nº 003/18  -  </v>
      </c>
      <c r="F3" s="1"/>
      <c r="G3" s="1"/>
      <c r="H3" s="1"/>
    </row>
    <row r="4" spans="2:17" ht="15">
      <c r="B4" s="1"/>
      <c r="C4" s="1"/>
      <c r="D4" s="1"/>
      <c r="E4" s="403" t="str">
        <f>+MENU!$C$2</f>
        <v>ESTUDO TÉCNICO DE VIABILIDADE ECONÔMICA DA OPERAÇÃO DO SERVIÇO DE TRANSPORTE COLETIVO DA CIDADE DE AMPARO</v>
      </c>
      <c r="F4" s="1"/>
      <c r="G4" s="1"/>
      <c r="H4" s="1"/>
    </row>
    <row r="5" spans="2:17" ht="15.75" thickBot="1">
      <c r="B5" s="3"/>
      <c r="C5" s="3"/>
      <c r="D5" s="3"/>
      <c r="E5" s="420" t="str">
        <f>+MENU!$C$3</f>
        <v>ANEXO IV.1 - ESTUDO TÉCNICO DE VIABILIDADE ECONÔMICA - ORÇAMENTO ESTIMADO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7" t="str">
        <f>+MENU!$C$5</f>
        <v>DATA BASE DE CÁLCULO: MARÇO 2020</v>
      </c>
    </row>
    <row r="7" spans="2:17" ht="15.75">
      <c r="B7" s="389" t="str">
        <f>+MENU!C127</f>
        <v>10. - TRIBUTAÇÃO e IMPOSTOS</v>
      </c>
    </row>
    <row r="8" spans="2:17">
      <c r="B8" s="524"/>
    </row>
    <row r="9" spans="2:17" ht="15.75">
      <c r="B9" s="389" t="str">
        <f>+MENU!$C$128</f>
        <v>10.1 - TRIBUTAÇÃO INCIDENTE SOBRE FATURAMENTO</v>
      </c>
      <c r="C9" s="1"/>
      <c r="D9" s="1"/>
      <c r="E9" s="1"/>
      <c r="F9" s="1"/>
    </row>
    <row r="10" spans="2:17">
      <c r="B10" s="524"/>
      <c r="C10" s="1"/>
      <c r="D10" s="1"/>
      <c r="E10" s="1"/>
      <c r="F10" s="1"/>
    </row>
    <row r="11" spans="2:17" ht="13.5" thickBot="1">
      <c r="C11" s="728" t="s">
        <v>257</v>
      </c>
      <c r="D11" s="728"/>
      <c r="E11" s="728"/>
      <c r="F11" s="728"/>
    </row>
    <row r="12" spans="2:17" ht="18" customHeight="1">
      <c r="C12" s="525" t="s">
        <v>258</v>
      </c>
      <c r="D12" s="525"/>
      <c r="E12" s="526"/>
      <c r="F12" s="607">
        <v>0</v>
      </c>
    </row>
    <row r="13" spans="2:17" ht="18" customHeight="1">
      <c r="C13" s="527" t="s">
        <v>259</v>
      </c>
      <c r="D13" s="527"/>
      <c r="E13" s="528"/>
      <c r="F13" s="608">
        <v>0</v>
      </c>
    </row>
    <row r="14" spans="2:17" ht="18" customHeight="1">
      <c r="C14" s="527" t="s">
        <v>466</v>
      </c>
      <c r="D14" s="527"/>
      <c r="E14" s="528"/>
      <c r="F14" s="608">
        <v>0.05</v>
      </c>
    </row>
    <row r="15" spans="2:17" ht="18" customHeight="1">
      <c r="C15" s="529" t="s">
        <v>260</v>
      </c>
      <c r="D15" s="529"/>
      <c r="E15" s="530"/>
      <c r="F15" s="609">
        <v>0</v>
      </c>
    </row>
    <row r="16" spans="2:17" ht="18" customHeight="1" thickBot="1">
      <c r="C16" s="531" t="s">
        <v>261</v>
      </c>
      <c r="D16" s="531"/>
      <c r="E16" s="532"/>
      <c r="F16" s="533">
        <f>SUM(F12:F15)</f>
        <v>0.05</v>
      </c>
    </row>
    <row r="19" spans="2:7" ht="15.75">
      <c r="B19" s="389" t="str">
        <f>+MENU!$C$129</f>
        <v>10.2 - IMPOSTOS</v>
      </c>
      <c r="C19" s="1"/>
      <c r="D19" s="1"/>
      <c r="E19" s="1"/>
      <c r="F19" s="1"/>
      <c r="G19" s="1"/>
    </row>
    <row r="20" spans="2:7">
      <c r="B20" s="524"/>
      <c r="C20" s="1"/>
      <c r="D20" s="1"/>
      <c r="E20" s="1"/>
      <c r="F20" s="1"/>
      <c r="G20" s="1"/>
    </row>
    <row r="21" spans="2:7" ht="13.5" thickBot="1">
      <c r="C21" s="728" t="s">
        <v>262</v>
      </c>
      <c r="D21" s="728"/>
      <c r="E21" s="728"/>
      <c r="F21" s="728"/>
    </row>
    <row r="22" spans="2:7" ht="18" customHeight="1">
      <c r="C22" s="525" t="s">
        <v>243</v>
      </c>
      <c r="D22" s="525"/>
      <c r="E22" s="526"/>
      <c r="F22" s="607">
        <v>0.09</v>
      </c>
    </row>
    <row r="23" spans="2:7" ht="18" customHeight="1">
      <c r="C23" s="527" t="s">
        <v>244</v>
      </c>
      <c r="D23" s="527"/>
      <c r="E23" s="528"/>
      <c r="F23" s="608">
        <v>0.15</v>
      </c>
    </row>
    <row r="24" spans="2:7" ht="18" customHeight="1" thickBot="1">
      <c r="C24" s="534" t="s">
        <v>245</v>
      </c>
      <c r="D24" s="534"/>
      <c r="E24" s="535"/>
      <c r="F24" s="610">
        <v>0.1</v>
      </c>
    </row>
  </sheetData>
  <mergeCells count="2">
    <mergeCell ref="C21:F21"/>
    <mergeCell ref="C11:F11"/>
  </mergeCells>
  <pageMargins left="0.51181102362204722" right="0.51181102362204722" top="0.78740157480314965" bottom="0.78740157480314965" header="0.31496062992125984" footer="0.31496062992125984"/>
  <pageSetup paperSize="9" scale="90" orientation="landscape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R12"/>
  <sheetViews>
    <sheetView showGridLines="0" view="pageBreakPreview" zoomScale="130" zoomScaleNormal="100" zoomScaleSheetLayoutView="130" workbookViewId="0">
      <selection activeCell="D11" sqref="D11"/>
    </sheetView>
  </sheetViews>
  <sheetFormatPr defaultRowHeight="12.75"/>
  <cols>
    <col min="1" max="1" width="1.140625" style="2" customWidth="1"/>
    <col min="2" max="2" width="2.42578125" style="2" customWidth="1"/>
    <col min="3" max="3" width="1.5703125" style="2" customWidth="1"/>
    <col min="4" max="4" width="18.85546875" style="2" customWidth="1"/>
    <col min="5" max="5" width="7" style="2" customWidth="1"/>
    <col min="6" max="6" width="17.5703125" style="2" customWidth="1"/>
    <col min="7" max="11" width="8.7109375" style="2" customWidth="1"/>
    <col min="12" max="12" width="6.28515625" style="2" customWidth="1"/>
    <col min="13" max="16" width="8.7109375" style="2" customWidth="1"/>
    <col min="17" max="17" width="9.140625" style="2"/>
    <col min="18" max="18" width="1.42578125" style="2" customWidth="1"/>
    <col min="19" max="16384" width="9.140625" style="2"/>
  </cols>
  <sheetData>
    <row r="1" spans="2:18">
      <c r="B1" s="1"/>
      <c r="C1" s="1"/>
      <c r="D1" s="1"/>
      <c r="E1" s="1"/>
      <c r="F1" s="1"/>
      <c r="G1" s="1"/>
      <c r="H1" s="1"/>
      <c r="I1" s="1"/>
      <c r="J1" s="1"/>
    </row>
    <row r="2" spans="2:18" ht="15">
      <c r="B2" s="1"/>
      <c r="C2" s="1"/>
      <c r="D2" s="1"/>
      <c r="E2" s="1"/>
      <c r="F2" s="403" t="s">
        <v>365</v>
      </c>
      <c r="G2" s="1"/>
      <c r="H2" s="1"/>
      <c r="I2" s="1"/>
      <c r="J2" s="1"/>
    </row>
    <row r="3" spans="2:18" ht="15">
      <c r="B3" s="1"/>
      <c r="C3" s="1"/>
      <c r="D3" s="1"/>
      <c r="E3" s="1"/>
      <c r="F3" s="403" t="str">
        <f>MENU!$B$3&amp;"  -  "&amp;+MENU!$B$4</f>
        <v xml:space="preserve">CONCORRÊNCIA Nº 003/18  -  </v>
      </c>
      <c r="G3" s="1"/>
      <c r="H3" s="1"/>
      <c r="I3" s="1"/>
      <c r="J3" s="1"/>
    </row>
    <row r="4" spans="2:18" ht="15">
      <c r="B4" s="1"/>
      <c r="C4" s="1"/>
      <c r="D4" s="1"/>
      <c r="E4" s="1"/>
      <c r="F4" s="403" t="str">
        <f>+MENU!$C$2</f>
        <v>ESTUDO TÉCNICO DE VIABILIDADE ECONÔMICA DA OPERAÇÃO DO SERVIÇO DE TRANSPORTE COLETIVO DA CIDADE DE AMPARO</v>
      </c>
      <c r="H4" s="1"/>
      <c r="I4" s="1"/>
      <c r="J4" s="1"/>
    </row>
    <row r="5" spans="2:18" ht="15.75" thickBot="1">
      <c r="B5" s="3"/>
      <c r="C5" s="3"/>
      <c r="D5" s="3"/>
      <c r="E5" s="3"/>
      <c r="F5" s="420" t="str">
        <f>+MENU!$C$3</f>
        <v>ANEXO IV.1 - ESTUDO TÉCNICO DE VIABILIDADE ECONÔMICA - ORÇAMENTO ESTIMADO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7" t="str">
        <f>+MENU!$C$5</f>
        <v>DATA BASE DE CÁLCULO: MARÇO 2020</v>
      </c>
    </row>
    <row r="7" spans="2:18" ht="15.75">
      <c r="B7" s="389" t="str">
        <f>+MENU!$C$130</f>
        <v>11. - RECEITAS ACESSÓRIAS</v>
      </c>
      <c r="Q7" s="5"/>
    </row>
    <row r="8" spans="2:18">
      <c r="B8" s="4"/>
    </row>
    <row r="9" spans="2:18" ht="33" customHeight="1">
      <c r="D9" s="597" t="s">
        <v>368</v>
      </c>
      <c r="E9" s="597" t="s">
        <v>369</v>
      </c>
      <c r="F9" s="34" t="s">
        <v>367</v>
      </c>
    </row>
    <row r="10" spans="2:18" ht="27.75" customHeight="1">
      <c r="D10" s="606">
        <v>150</v>
      </c>
      <c r="E10" s="428">
        <f>'1. DADOS OPERACIONAIS'!F23</f>
        <v>14</v>
      </c>
      <c r="F10" s="429">
        <f>D10*E10</f>
        <v>2100</v>
      </c>
      <c r="G10" s="402"/>
    </row>
    <row r="12" spans="2:18">
      <c r="B12" s="4"/>
    </row>
  </sheetData>
  <pageMargins left="0.51181102362204722" right="0.51181102362204722" top="0.78740157480314965" bottom="0.78740157480314965" header="0.31496062992125984" footer="0.31496062992125984"/>
  <pageSetup paperSize="9" scale="95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Z95"/>
  <sheetViews>
    <sheetView showGridLines="0" view="pageBreakPreview" topLeftCell="B55" zoomScale="88" zoomScaleNormal="88" zoomScaleSheetLayoutView="88" workbookViewId="0">
      <selection activeCell="C65" sqref="C65:V94"/>
    </sheetView>
  </sheetViews>
  <sheetFormatPr defaultRowHeight="15" outlineLevelRow="2" outlineLevelCol="1"/>
  <cols>
    <col min="1" max="1" width="29.85546875" style="402" hidden="1" customWidth="1" outlineLevel="1"/>
    <col min="2" max="2" width="2.140625" style="402" customWidth="1" collapsed="1"/>
    <col min="3" max="3" width="2.28515625" style="402" customWidth="1"/>
    <col min="4" max="4" width="42.28515625" style="402" customWidth="1"/>
    <col min="5" max="5" width="9.140625" style="402"/>
    <col min="6" max="6" width="20.140625" style="2" bestFit="1" customWidth="1"/>
    <col min="7" max="10" width="9.5703125" style="2" bestFit="1" customWidth="1"/>
    <col min="11" max="12" width="10.7109375" style="2" bestFit="1" customWidth="1"/>
    <col min="13" max="15" width="9.5703125" style="2" bestFit="1" customWidth="1"/>
    <col min="16" max="16" width="10" style="2" bestFit="1" customWidth="1"/>
    <col min="17" max="18" width="9.5703125" style="2" bestFit="1" customWidth="1"/>
    <col min="19" max="19" width="10.7109375" style="2" bestFit="1" customWidth="1"/>
    <col min="20" max="20" width="9.5703125" style="2" bestFit="1" customWidth="1"/>
    <col min="21" max="21" width="12" style="2" bestFit="1" customWidth="1"/>
    <col min="22" max="22" width="12.140625" style="2" customWidth="1"/>
    <col min="23" max="23" width="9.140625" style="402"/>
    <col min="24" max="24" width="21" style="402" customWidth="1"/>
    <col min="25" max="16384" width="9.140625" style="402"/>
  </cols>
  <sheetData>
    <row r="1" spans="1:25">
      <c r="C1" s="1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</row>
    <row r="2" spans="1:25">
      <c r="C2" s="1"/>
      <c r="D2" s="115"/>
      <c r="E2" s="403" t="s">
        <v>365</v>
      </c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</row>
    <row r="3" spans="1:25">
      <c r="C3" s="1"/>
      <c r="D3" s="115"/>
      <c r="E3" s="403" t="str">
        <f>MENU!$B$3&amp;"  -  "&amp;+MENU!$B$4</f>
        <v xml:space="preserve">CONCORRÊNCIA Nº 003/18  -  </v>
      </c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</row>
    <row r="4" spans="1:25">
      <c r="C4" s="1"/>
      <c r="D4" s="115"/>
      <c r="E4" s="403" t="str">
        <f>+MENU!$C$2</f>
        <v>ESTUDO TÉCNICO DE VIABILIDADE ECONÔMICA DA OPERAÇÃO DO SERVIÇO DE TRANSPORTE COLETIVO DA CIDADE DE AMPARO</v>
      </c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</row>
    <row r="5" spans="1:25" ht="15.75" thickBot="1">
      <c r="C5" s="3"/>
      <c r="D5" s="116"/>
      <c r="E5" s="420" t="str">
        <f>+MENU!$C$3</f>
        <v>ANEXO IV.1 - ESTUDO TÉCNICO DE VIABILIDADE ECONÔMICA - ORÇAMENTO ESTIMADO</v>
      </c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37" t="str">
        <f>+MENU!$C$5</f>
        <v>DATA BASE DE CÁLCULO: MARÇO 2020</v>
      </c>
    </row>
    <row r="6" spans="1:25" ht="25.5" customHeight="1">
      <c r="C6" s="2"/>
      <c r="D6" s="83"/>
      <c r="E6" s="83"/>
      <c r="F6" s="83"/>
      <c r="P6" s="83"/>
      <c r="Q6" s="83"/>
      <c r="R6" s="115"/>
      <c r="S6" s="115"/>
      <c r="T6" s="115"/>
      <c r="U6" s="115"/>
      <c r="V6" s="115"/>
    </row>
    <row r="7" spans="1:25" ht="18.75">
      <c r="C7" s="390" t="str">
        <f>+MENU!C131</f>
        <v>12. - FLUXO DE CAIXA DE INVESTIMENTO</v>
      </c>
      <c r="D7" s="83"/>
      <c r="E7" s="83"/>
      <c r="F7" s="83"/>
      <c r="P7" s="83"/>
      <c r="Q7" s="83"/>
      <c r="R7" s="1"/>
      <c r="S7" s="1"/>
      <c r="T7" s="1"/>
      <c r="U7" s="1"/>
      <c r="V7" s="1"/>
      <c r="W7" s="408"/>
      <c r="X7" s="408"/>
      <c r="Y7" s="408"/>
    </row>
    <row r="8" spans="1:25" ht="15.75" thickBot="1">
      <c r="F8" s="382"/>
    </row>
    <row r="9" spans="1:25" ht="24.95" customHeight="1" thickBot="1">
      <c r="C9" s="730" t="s">
        <v>223</v>
      </c>
      <c r="D9" s="730"/>
      <c r="E9" s="731"/>
      <c r="F9" s="598" t="s">
        <v>99</v>
      </c>
      <c r="G9" s="599">
        <v>1</v>
      </c>
      <c r="H9" s="599">
        <f t="shared" ref="H9:U9" si="0">+G9+1</f>
        <v>2</v>
      </c>
      <c r="I9" s="599">
        <f t="shared" si="0"/>
        <v>3</v>
      </c>
      <c r="J9" s="599">
        <f t="shared" si="0"/>
        <v>4</v>
      </c>
      <c r="K9" s="599">
        <f t="shared" si="0"/>
        <v>5</v>
      </c>
      <c r="L9" s="599">
        <f t="shared" si="0"/>
        <v>6</v>
      </c>
      <c r="M9" s="599">
        <f t="shared" si="0"/>
        <v>7</v>
      </c>
      <c r="N9" s="599">
        <f t="shared" si="0"/>
        <v>8</v>
      </c>
      <c r="O9" s="599">
        <f t="shared" si="0"/>
        <v>9</v>
      </c>
      <c r="P9" s="599">
        <f t="shared" si="0"/>
        <v>10</v>
      </c>
      <c r="Q9" s="599">
        <f t="shared" si="0"/>
        <v>11</v>
      </c>
      <c r="R9" s="599">
        <f t="shared" si="0"/>
        <v>12</v>
      </c>
      <c r="S9" s="599">
        <f t="shared" si="0"/>
        <v>13</v>
      </c>
      <c r="T9" s="599">
        <f t="shared" si="0"/>
        <v>14</v>
      </c>
      <c r="U9" s="599">
        <f t="shared" si="0"/>
        <v>15</v>
      </c>
      <c r="V9" s="600" t="s">
        <v>222</v>
      </c>
    </row>
    <row r="10" spans="1:25" ht="15.75" outlineLevel="1">
      <c r="A10" s="387" t="s">
        <v>310</v>
      </c>
      <c r="B10" s="387"/>
      <c r="C10" s="386" t="s">
        <v>342</v>
      </c>
      <c r="D10" s="505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36"/>
      <c r="S10" s="336"/>
      <c r="T10" s="336"/>
      <c r="U10" s="336"/>
    </row>
    <row r="11" spans="1:25" ht="16.5" outlineLevel="1" thickBot="1">
      <c r="A11" s="387" t="s">
        <v>311</v>
      </c>
      <c r="B11" s="387"/>
      <c r="C11" s="286"/>
      <c r="D11" s="401" t="s">
        <v>224</v>
      </c>
      <c r="F11" s="5" t="s">
        <v>300</v>
      </c>
      <c r="G11" s="337">
        <f>'1. DADOS OPERACIONAIS'!F59</f>
        <v>1112688</v>
      </c>
      <c r="H11" s="337">
        <f>'1. DADOS OPERACIONAIS'!G59</f>
        <v>1112688</v>
      </c>
      <c r="I11" s="337">
        <f>'1. DADOS OPERACIONAIS'!H59</f>
        <v>1112688</v>
      </c>
      <c r="J11" s="337">
        <f>'1. DADOS OPERACIONAIS'!I59</f>
        <v>1112688</v>
      </c>
      <c r="K11" s="337">
        <f>'1. DADOS OPERACIONAIS'!J59</f>
        <v>1112688</v>
      </c>
      <c r="L11" s="337">
        <f>'1. DADOS OPERACIONAIS'!K59</f>
        <v>1112688</v>
      </c>
      <c r="M11" s="337">
        <f>'1. DADOS OPERACIONAIS'!L59</f>
        <v>1112688</v>
      </c>
      <c r="N11" s="337">
        <f>'1. DADOS OPERACIONAIS'!M59</f>
        <v>1112688</v>
      </c>
      <c r="O11" s="337">
        <f>'1. DADOS OPERACIONAIS'!N59</f>
        <v>1112688</v>
      </c>
      <c r="P11" s="337">
        <f>'1. DADOS OPERACIONAIS'!O59</f>
        <v>1112688</v>
      </c>
      <c r="Q11" s="337">
        <f>'1. DADOS OPERACIONAIS'!P59</f>
        <v>1112688</v>
      </c>
      <c r="R11" s="337">
        <f>'1. DADOS OPERACIONAIS'!Q59</f>
        <v>1112688</v>
      </c>
      <c r="S11" s="337">
        <f>'1. DADOS OPERACIONAIS'!R59</f>
        <v>1112688</v>
      </c>
      <c r="T11" s="337">
        <f>'1. DADOS OPERACIONAIS'!S59</f>
        <v>1112688</v>
      </c>
      <c r="U11" s="337">
        <f>'1. DADOS OPERACIONAIS'!T59</f>
        <v>1112688</v>
      </c>
    </row>
    <row r="12" spans="1:25" ht="18.75" outlineLevel="1">
      <c r="A12" s="387" t="s">
        <v>312</v>
      </c>
      <c r="B12" s="387"/>
      <c r="C12" s="286"/>
      <c r="D12" s="401" t="s">
        <v>225</v>
      </c>
      <c r="F12" s="455">
        <v>3.95</v>
      </c>
      <c r="G12" s="338">
        <f>+F12</f>
        <v>3.95</v>
      </c>
      <c r="H12" s="338">
        <f>+G12</f>
        <v>3.95</v>
      </c>
      <c r="I12" s="338">
        <f t="shared" ref="I12:U12" si="1">+H12</f>
        <v>3.95</v>
      </c>
      <c r="J12" s="338">
        <f t="shared" si="1"/>
        <v>3.95</v>
      </c>
      <c r="K12" s="338">
        <f t="shared" si="1"/>
        <v>3.95</v>
      </c>
      <c r="L12" s="338">
        <f t="shared" si="1"/>
        <v>3.95</v>
      </c>
      <c r="M12" s="338">
        <f t="shared" si="1"/>
        <v>3.95</v>
      </c>
      <c r="N12" s="338">
        <f t="shared" si="1"/>
        <v>3.95</v>
      </c>
      <c r="O12" s="338">
        <f t="shared" si="1"/>
        <v>3.95</v>
      </c>
      <c r="P12" s="338">
        <f t="shared" si="1"/>
        <v>3.95</v>
      </c>
      <c r="Q12" s="338">
        <f t="shared" si="1"/>
        <v>3.95</v>
      </c>
      <c r="R12" s="338">
        <f t="shared" si="1"/>
        <v>3.95</v>
      </c>
      <c r="S12" s="338">
        <f t="shared" si="1"/>
        <v>3.95</v>
      </c>
      <c r="T12" s="338">
        <f t="shared" si="1"/>
        <v>3.95</v>
      </c>
      <c r="U12" s="338">
        <f t="shared" si="1"/>
        <v>3.95</v>
      </c>
    </row>
    <row r="13" spans="1:25" ht="16.5" outlineLevel="1" thickBot="1">
      <c r="A13" s="387" t="s">
        <v>334</v>
      </c>
      <c r="B13" s="387"/>
      <c r="C13" s="286"/>
      <c r="D13" s="384" t="s">
        <v>226</v>
      </c>
      <c r="E13" s="506"/>
      <c r="F13" s="339"/>
      <c r="G13" s="340">
        <f t="shared" ref="G13:U13" si="2">ROUND(G12*G11,2)</f>
        <v>4395117.5999999996</v>
      </c>
      <c r="H13" s="340">
        <f t="shared" si="2"/>
        <v>4395117.5999999996</v>
      </c>
      <c r="I13" s="340">
        <f t="shared" si="2"/>
        <v>4395117.5999999996</v>
      </c>
      <c r="J13" s="340">
        <f t="shared" si="2"/>
        <v>4395117.5999999996</v>
      </c>
      <c r="K13" s="340">
        <f t="shared" si="2"/>
        <v>4395117.5999999996</v>
      </c>
      <c r="L13" s="340">
        <f t="shared" si="2"/>
        <v>4395117.5999999996</v>
      </c>
      <c r="M13" s="340">
        <f t="shared" si="2"/>
        <v>4395117.5999999996</v>
      </c>
      <c r="N13" s="340">
        <f t="shared" si="2"/>
        <v>4395117.5999999996</v>
      </c>
      <c r="O13" s="340">
        <f t="shared" si="2"/>
        <v>4395117.5999999996</v>
      </c>
      <c r="P13" s="340">
        <f t="shared" si="2"/>
        <v>4395117.5999999996</v>
      </c>
      <c r="Q13" s="340">
        <f t="shared" si="2"/>
        <v>4395117.5999999996</v>
      </c>
      <c r="R13" s="340">
        <f t="shared" si="2"/>
        <v>4395117.5999999996</v>
      </c>
      <c r="S13" s="340">
        <f t="shared" si="2"/>
        <v>4395117.5999999996</v>
      </c>
      <c r="T13" s="340">
        <f t="shared" si="2"/>
        <v>4395117.5999999996</v>
      </c>
      <c r="U13" s="340">
        <f t="shared" si="2"/>
        <v>4395117.5999999996</v>
      </c>
      <c r="V13" s="339"/>
    </row>
    <row r="14" spans="1:25" ht="15.75" outlineLevel="1">
      <c r="A14" s="387" t="s">
        <v>335</v>
      </c>
      <c r="B14" s="387"/>
      <c r="C14" s="286"/>
      <c r="D14" s="401" t="s">
        <v>337</v>
      </c>
      <c r="G14" s="337">
        <f>'11. RECEITA ACESSORIA'!F10*12</f>
        <v>25200</v>
      </c>
      <c r="H14" s="337">
        <f>+G14</f>
        <v>25200</v>
      </c>
      <c r="I14" s="337">
        <f t="shared" ref="I14:U14" si="3">+H14</f>
        <v>25200</v>
      </c>
      <c r="J14" s="337">
        <f t="shared" si="3"/>
        <v>25200</v>
      </c>
      <c r="K14" s="337">
        <f t="shared" si="3"/>
        <v>25200</v>
      </c>
      <c r="L14" s="337">
        <f t="shared" si="3"/>
        <v>25200</v>
      </c>
      <c r="M14" s="337">
        <f t="shared" si="3"/>
        <v>25200</v>
      </c>
      <c r="N14" s="337">
        <f t="shared" si="3"/>
        <v>25200</v>
      </c>
      <c r="O14" s="337">
        <f t="shared" si="3"/>
        <v>25200</v>
      </c>
      <c r="P14" s="337">
        <f t="shared" si="3"/>
        <v>25200</v>
      </c>
      <c r="Q14" s="337">
        <f t="shared" si="3"/>
        <v>25200</v>
      </c>
      <c r="R14" s="337">
        <f t="shared" si="3"/>
        <v>25200</v>
      </c>
      <c r="S14" s="337">
        <f t="shared" si="3"/>
        <v>25200</v>
      </c>
      <c r="T14" s="337">
        <f t="shared" si="3"/>
        <v>25200</v>
      </c>
      <c r="U14" s="337">
        <f t="shared" si="3"/>
        <v>25200</v>
      </c>
    </row>
    <row r="15" spans="1:25" s="256" customFormat="1" ht="18" customHeight="1" outlineLevel="1" thickBot="1">
      <c r="A15" s="381" t="s">
        <v>336</v>
      </c>
      <c r="B15" s="381"/>
      <c r="C15" s="286"/>
      <c r="D15" s="384" t="s">
        <v>227</v>
      </c>
      <c r="E15" s="341"/>
      <c r="F15" s="220"/>
      <c r="G15" s="342">
        <f>SUM(G13,G14)</f>
        <v>4420317.5999999996</v>
      </c>
      <c r="H15" s="342">
        <f t="shared" ref="H15:U15" si="4">SUM(H13,H14)</f>
        <v>4420317.5999999996</v>
      </c>
      <c r="I15" s="342">
        <f t="shared" si="4"/>
        <v>4420317.5999999996</v>
      </c>
      <c r="J15" s="342">
        <f t="shared" si="4"/>
        <v>4420317.5999999996</v>
      </c>
      <c r="K15" s="342">
        <f t="shared" si="4"/>
        <v>4420317.5999999996</v>
      </c>
      <c r="L15" s="342">
        <f t="shared" si="4"/>
        <v>4420317.5999999996</v>
      </c>
      <c r="M15" s="342">
        <f t="shared" si="4"/>
        <v>4420317.5999999996</v>
      </c>
      <c r="N15" s="342">
        <f t="shared" si="4"/>
        <v>4420317.5999999996</v>
      </c>
      <c r="O15" s="342">
        <f t="shared" si="4"/>
        <v>4420317.5999999996</v>
      </c>
      <c r="P15" s="342">
        <f t="shared" si="4"/>
        <v>4420317.5999999996</v>
      </c>
      <c r="Q15" s="342">
        <f t="shared" si="4"/>
        <v>4420317.5999999996</v>
      </c>
      <c r="R15" s="342">
        <f t="shared" si="4"/>
        <v>4420317.5999999996</v>
      </c>
      <c r="S15" s="342">
        <f t="shared" si="4"/>
        <v>4420317.5999999996</v>
      </c>
      <c r="T15" s="342">
        <f t="shared" si="4"/>
        <v>4420317.5999999996</v>
      </c>
      <c r="U15" s="342">
        <f t="shared" si="4"/>
        <v>4420317.5999999996</v>
      </c>
      <c r="V15" s="220"/>
    </row>
    <row r="16" spans="1:25" ht="5.0999999999999996" customHeight="1" outlineLevel="1">
      <c r="A16" s="387"/>
      <c r="B16" s="387"/>
      <c r="C16" s="286"/>
      <c r="D16" s="401"/>
      <c r="G16" s="337"/>
      <c r="H16" s="337"/>
      <c r="I16" s="337"/>
      <c r="J16" s="337"/>
      <c r="K16" s="337"/>
      <c r="L16" s="337"/>
      <c r="M16" s="337"/>
      <c r="N16" s="337"/>
      <c r="O16" s="337"/>
      <c r="P16" s="337"/>
      <c r="Q16" s="337"/>
      <c r="R16" s="337"/>
      <c r="S16" s="337"/>
      <c r="T16" s="337"/>
      <c r="U16" s="337"/>
    </row>
    <row r="17" spans="1:26" ht="15.75" outlineLevel="1">
      <c r="A17" s="387" t="s">
        <v>338</v>
      </c>
      <c r="B17" s="387"/>
      <c r="C17" s="286"/>
      <c r="D17" s="401" t="s">
        <v>228</v>
      </c>
      <c r="F17" s="289">
        <v>0.02</v>
      </c>
      <c r="G17" s="337">
        <f>$F17*G15</f>
        <v>88406.351999999999</v>
      </c>
      <c r="H17" s="337"/>
      <c r="I17" s="337"/>
      <c r="J17" s="337"/>
      <c r="K17" s="337"/>
      <c r="L17" s="337"/>
      <c r="M17" s="337"/>
      <c r="N17" s="337"/>
      <c r="O17" s="337"/>
      <c r="P17" s="337"/>
      <c r="Q17" s="337"/>
      <c r="R17" s="337"/>
      <c r="S17" s="337"/>
      <c r="T17" s="337"/>
      <c r="U17" s="337"/>
    </row>
    <row r="18" spans="1:26" ht="15.75" outlineLevel="1">
      <c r="A18" s="387" t="s">
        <v>339</v>
      </c>
      <c r="B18" s="387"/>
      <c r="C18" s="286"/>
      <c r="D18" s="401" t="s">
        <v>229</v>
      </c>
      <c r="F18" s="289">
        <f>+'10. TRIBUTAÇÃO E IMPOSTOS'!F14</f>
        <v>0.05</v>
      </c>
      <c r="G18" s="337">
        <f>$F18*G15</f>
        <v>221015.88</v>
      </c>
      <c r="H18" s="337">
        <f t="shared" ref="H18:U18" si="5">$F18*H15</f>
        <v>221015.88</v>
      </c>
      <c r="I18" s="337">
        <f t="shared" si="5"/>
        <v>221015.88</v>
      </c>
      <c r="J18" s="337">
        <f t="shared" si="5"/>
        <v>221015.88</v>
      </c>
      <c r="K18" s="337">
        <f t="shared" si="5"/>
        <v>221015.88</v>
      </c>
      <c r="L18" s="337">
        <f t="shared" si="5"/>
        <v>221015.88</v>
      </c>
      <c r="M18" s="337">
        <f t="shared" si="5"/>
        <v>221015.88</v>
      </c>
      <c r="N18" s="337">
        <f t="shared" si="5"/>
        <v>221015.88</v>
      </c>
      <c r="O18" s="337">
        <f t="shared" si="5"/>
        <v>221015.88</v>
      </c>
      <c r="P18" s="337">
        <f t="shared" si="5"/>
        <v>221015.88</v>
      </c>
      <c r="Q18" s="337">
        <f t="shared" si="5"/>
        <v>221015.88</v>
      </c>
      <c r="R18" s="337">
        <f t="shared" si="5"/>
        <v>221015.88</v>
      </c>
      <c r="S18" s="337">
        <f t="shared" si="5"/>
        <v>221015.88</v>
      </c>
      <c r="T18" s="337">
        <f t="shared" si="5"/>
        <v>221015.88</v>
      </c>
      <c r="U18" s="337">
        <f t="shared" si="5"/>
        <v>221015.88</v>
      </c>
    </row>
    <row r="19" spans="1:26" ht="15.75" outlineLevel="1">
      <c r="A19" s="387" t="s">
        <v>340</v>
      </c>
      <c r="B19" s="387"/>
      <c r="C19" s="286"/>
      <c r="D19" s="401" t="s">
        <v>263</v>
      </c>
      <c r="F19" s="289">
        <f>SUM('10. TRIBUTAÇÃO E IMPOSTOS'!F12:F13)</f>
        <v>0</v>
      </c>
      <c r="G19" s="337">
        <f>$F19*G15</f>
        <v>0</v>
      </c>
      <c r="H19" s="337">
        <f t="shared" ref="H19:U19" si="6">$F19*H15</f>
        <v>0</v>
      </c>
      <c r="I19" s="337">
        <f t="shared" si="6"/>
        <v>0</v>
      </c>
      <c r="J19" s="337">
        <f t="shared" si="6"/>
        <v>0</v>
      </c>
      <c r="K19" s="337">
        <f t="shared" si="6"/>
        <v>0</v>
      </c>
      <c r="L19" s="337">
        <f t="shared" si="6"/>
        <v>0</v>
      </c>
      <c r="M19" s="337">
        <f t="shared" si="6"/>
        <v>0</v>
      </c>
      <c r="N19" s="337">
        <f t="shared" si="6"/>
        <v>0</v>
      </c>
      <c r="O19" s="337">
        <f t="shared" si="6"/>
        <v>0</v>
      </c>
      <c r="P19" s="337">
        <f t="shared" si="6"/>
        <v>0</v>
      </c>
      <c r="Q19" s="337">
        <f t="shared" si="6"/>
        <v>0</v>
      </c>
      <c r="R19" s="337">
        <f t="shared" si="6"/>
        <v>0</v>
      </c>
      <c r="S19" s="337">
        <f t="shared" si="6"/>
        <v>0</v>
      </c>
      <c r="T19" s="337">
        <f t="shared" si="6"/>
        <v>0</v>
      </c>
      <c r="U19" s="337">
        <f t="shared" si="6"/>
        <v>0</v>
      </c>
    </row>
    <row r="20" spans="1:26" ht="18" customHeight="1" outlineLevel="1" thickBot="1">
      <c r="A20" s="387" t="s">
        <v>341</v>
      </c>
      <c r="B20" s="387"/>
      <c r="C20" s="286"/>
      <c r="D20" s="384" t="s">
        <v>230</v>
      </c>
      <c r="E20" s="507"/>
      <c r="F20" s="343"/>
      <c r="G20" s="312">
        <f>SUM(G17:G19)</f>
        <v>309422.23200000002</v>
      </c>
      <c r="H20" s="312">
        <f t="shared" ref="H20:U20" si="7">SUM(H17:H19)</f>
        <v>221015.88</v>
      </c>
      <c r="I20" s="312">
        <f t="shared" si="7"/>
        <v>221015.88</v>
      </c>
      <c r="J20" s="312">
        <f t="shared" si="7"/>
        <v>221015.88</v>
      </c>
      <c r="K20" s="312">
        <f t="shared" si="7"/>
        <v>221015.88</v>
      </c>
      <c r="L20" s="312">
        <f t="shared" si="7"/>
        <v>221015.88</v>
      </c>
      <c r="M20" s="312">
        <f t="shared" si="7"/>
        <v>221015.88</v>
      </c>
      <c r="N20" s="312">
        <f t="shared" si="7"/>
        <v>221015.88</v>
      </c>
      <c r="O20" s="312">
        <f t="shared" si="7"/>
        <v>221015.88</v>
      </c>
      <c r="P20" s="312">
        <f t="shared" si="7"/>
        <v>221015.88</v>
      </c>
      <c r="Q20" s="312">
        <f t="shared" si="7"/>
        <v>221015.88</v>
      </c>
      <c r="R20" s="312">
        <f t="shared" si="7"/>
        <v>221015.88</v>
      </c>
      <c r="S20" s="312">
        <f t="shared" si="7"/>
        <v>221015.88</v>
      </c>
      <c r="T20" s="312">
        <f t="shared" si="7"/>
        <v>221015.88</v>
      </c>
      <c r="U20" s="312">
        <f t="shared" si="7"/>
        <v>221015.88</v>
      </c>
      <c r="V20" s="343"/>
    </row>
    <row r="21" spans="1:26" ht="5.0999999999999996" customHeight="1" outlineLevel="1" thickBot="1">
      <c r="A21" s="387"/>
      <c r="B21" s="387"/>
      <c r="C21" s="286"/>
      <c r="D21" s="401"/>
    </row>
    <row r="22" spans="1:26" s="4" customFormat="1" ht="18" customHeight="1" outlineLevel="1" thickBot="1">
      <c r="A22" s="381" t="s">
        <v>343</v>
      </c>
      <c r="B22" s="381"/>
      <c r="C22" s="309"/>
      <c r="D22" s="385" t="s">
        <v>231</v>
      </c>
      <c r="E22" s="344"/>
      <c r="F22" s="344"/>
      <c r="G22" s="302">
        <f>G15-G20</f>
        <v>4110895.3679999998</v>
      </c>
      <c r="H22" s="302">
        <f t="shared" ref="H22:U22" si="8">H15-H20</f>
        <v>4199301.72</v>
      </c>
      <c r="I22" s="302">
        <f t="shared" si="8"/>
        <v>4199301.72</v>
      </c>
      <c r="J22" s="302">
        <f t="shared" si="8"/>
        <v>4199301.72</v>
      </c>
      <c r="K22" s="302">
        <f t="shared" si="8"/>
        <v>4199301.72</v>
      </c>
      <c r="L22" s="302">
        <f t="shared" si="8"/>
        <v>4199301.72</v>
      </c>
      <c r="M22" s="302">
        <f t="shared" si="8"/>
        <v>4199301.72</v>
      </c>
      <c r="N22" s="302">
        <f t="shared" si="8"/>
        <v>4199301.72</v>
      </c>
      <c r="O22" s="302">
        <f t="shared" si="8"/>
        <v>4199301.72</v>
      </c>
      <c r="P22" s="302">
        <f t="shared" si="8"/>
        <v>4199301.72</v>
      </c>
      <c r="Q22" s="302">
        <f t="shared" si="8"/>
        <v>4199301.72</v>
      </c>
      <c r="R22" s="302">
        <f t="shared" si="8"/>
        <v>4199301.72</v>
      </c>
      <c r="S22" s="302">
        <f t="shared" si="8"/>
        <v>4199301.72</v>
      </c>
      <c r="T22" s="302">
        <f t="shared" si="8"/>
        <v>4199301.72</v>
      </c>
      <c r="U22" s="302">
        <f t="shared" si="8"/>
        <v>4199301.72</v>
      </c>
      <c r="V22" s="344"/>
    </row>
    <row r="23" spans="1:26" ht="15.75" outlineLevel="1" thickBot="1">
      <c r="C23" s="286"/>
      <c r="D23" s="401"/>
      <c r="X23" s="402" t="s">
        <v>493</v>
      </c>
    </row>
    <row r="24" spans="1:26" ht="18" customHeight="1" outlineLevel="1" thickBot="1">
      <c r="A24" s="387" t="s">
        <v>344</v>
      </c>
      <c r="B24" s="387"/>
      <c r="C24" s="385" t="s">
        <v>232</v>
      </c>
      <c r="D24" s="290"/>
      <c r="E24" s="345"/>
      <c r="F24" s="346" t="s">
        <v>301</v>
      </c>
      <c r="G24" s="347">
        <f>G25+G31</f>
        <v>3111723.4482213799</v>
      </c>
      <c r="H24" s="347">
        <f t="shared" ref="H24:T24" si="9">H25+H31</f>
        <v>3322612.2564340462</v>
      </c>
      <c r="I24" s="347">
        <f t="shared" si="9"/>
        <v>3322612.2564340462</v>
      </c>
      <c r="J24" s="347">
        <f t="shared" si="9"/>
        <v>3322612.2564340462</v>
      </c>
      <c r="K24" s="347">
        <f t="shared" si="9"/>
        <v>3322612.2564340462</v>
      </c>
      <c r="L24" s="347">
        <f t="shared" si="9"/>
        <v>3322612.2564340462</v>
      </c>
      <c r="M24" s="347">
        <f t="shared" si="9"/>
        <v>3322612.2564340462</v>
      </c>
      <c r="N24" s="347">
        <f t="shared" si="9"/>
        <v>3322612.2564340462</v>
      </c>
      <c r="O24" s="347">
        <f t="shared" si="9"/>
        <v>3322612.2564340462</v>
      </c>
      <c r="P24" s="347">
        <f t="shared" si="9"/>
        <v>3322612.2564340462</v>
      </c>
      <c r="Q24" s="347">
        <f t="shared" si="9"/>
        <v>3322612.2564340462</v>
      </c>
      <c r="R24" s="347">
        <f t="shared" si="9"/>
        <v>3322612.2564340462</v>
      </c>
      <c r="S24" s="347">
        <f t="shared" si="9"/>
        <v>3322612.2564340462</v>
      </c>
      <c r="T24" s="347">
        <f t="shared" si="9"/>
        <v>3322612.2564340462</v>
      </c>
      <c r="U24" s="347">
        <f>U25+U31</f>
        <v>3322612.2564340462</v>
      </c>
      <c r="V24" s="348"/>
      <c r="X24" s="508">
        <f>AVERAGE(G24,H24,I24,J24,K24,L24,M24,N24,O24,P24,Q24,R24,S24,T24,U24)+X50</f>
        <v>3985295.1252643131</v>
      </c>
    </row>
    <row r="25" spans="1:26" ht="18" customHeight="1" outlineLevel="1" thickBot="1">
      <c r="A25" s="387" t="s">
        <v>345</v>
      </c>
      <c r="B25" s="387"/>
      <c r="C25" s="286"/>
      <c r="D25" s="385" t="s">
        <v>233</v>
      </c>
      <c r="E25" s="345"/>
      <c r="F25" s="349" t="str">
        <f>F24</f>
        <v>(R$)</v>
      </c>
      <c r="G25" s="347">
        <f>SUM(G26:G30)</f>
        <v>1216716.0442373124</v>
      </c>
      <c r="H25" s="347">
        <f t="shared" ref="H25:U25" si="10">SUM(H26:H30)</f>
        <v>1216716.0442373124</v>
      </c>
      <c r="I25" s="347">
        <f t="shared" si="10"/>
        <v>1216716.0442373124</v>
      </c>
      <c r="J25" s="347">
        <f t="shared" si="10"/>
        <v>1216716.0442373124</v>
      </c>
      <c r="K25" s="347">
        <f t="shared" si="10"/>
        <v>1216716.0442373124</v>
      </c>
      <c r="L25" s="347">
        <f t="shared" si="10"/>
        <v>1216716.0442373124</v>
      </c>
      <c r="M25" s="347">
        <f t="shared" si="10"/>
        <v>1216716.0442373124</v>
      </c>
      <c r="N25" s="347">
        <f t="shared" si="10"/>
        <v>1216716.0442373124</v>
      </c>
      <c r="O25" s="347">
        <f t="shared" si="10"/>
        <v>1216716.0442373124</v>
      </c>
      <c r="P25" s="347">
        <f t="shared" si="10"/>
        <v>1216716.0442373124</v>
      </c>
      <c r="Q25" s="347">
        <f t="shared" si="10"/>
        <v>1216716.0442373124</v>
      </c>
      <c r="R25" s="347">
        <f t="shared" si="10"/>
        <v>1216716.0442373124</v>
      </c>
      <c r="S25" s="347">
        <f t="shared" si="10"/>
        <v>1216716.0442373124</v>
      </c>
      <c r="T25" s="347">
        <f t="shared" si="10"/>
        <v>1216716.0442373124</v>
      </c>
      <c r="U25" s="347">
        <f t="shared" si="10"/>
        <v>1216716.0442373124</v>
      </c>
      <c r="V25" s="350"/>
      <c r="X25" s="508">
        <f t="shared" ref="X25:X32" si="11">AVERAGE(G25,H25,I25,J25,K25,L25,M25,N25,O25,P25,Q25,R25,S25,T25,U25)</f>
        <v>1216716.0442373122</v>
      </c>
      <c r="Y25" s="509">
        <f>+X25/$X$24</f>
        <v>0.30530136564393512</v>
      </c>
      <c r="Z25" s="402" t="s">
        <v>271</v>
      </c>
    </row>
    <row r="26" spans="1:26" ht="15.75" outlineLevel="2">
      <c r="A26" s="387"/>
      <c r="B26" s="387"/>
      <c r="C26" s="406"/>
      <c r="D26" s="300" t="s">
        <v>80</v>
      </c>
      <c r="E26" s="407"/>
      <c r="F26" s="351"/>
      <c r="G26" s="352">
        <f>+'4. CUSTOS VARIÁVEIS'!F74*12</f>
        <v>851905.08957699174</v>
      </c>
      <c r="H26" s="352">
        <f>+'4. CUSTOS VARIÁVEIS'!G74*12</f>
        <v>851905.08957699174</v>
      </c>
      <c r="I26" s="352">
        <f>+'4. CUSTOS VARIÁVEIS'!H74*12</f>
        <v>851905.08957699174</v>
      </c>
      <c r="J26" s="352">
        <f>+'4. CUSTOS VARIÁVEIS'!I74*12</f>
        <v>851905.08957699174</v>
      </c>
      <c r="K26" s="352">
        <f>+'4. CUSTOS VARIÁVEIS'!J74*12</f>
        <v>851905.08957699174</v>
      </c>
      <c r="L26" s="352">
        <f>+'4. CUSTOS VARIÁVEIS'!K74*12</f>
        <v>851905.08957699174</v>
      </c>
      <c r="M26" s="352">
        <f>+'4. CUSTOS VARIÁVEIS'!L74*12</f>
        <v>851905.08957699174</v>
      </c>
      <c r="N26" s="352">
        <f>+'4. CUSTOS VARIÁVEIS'!M74*12</f>
        <v>851905.08957699174</v>
      </c>
      <c r="O26" s="352">
        <f>+'4. CUSTOS VARIÁVEIS'!N74*12</f>
        <v>851905.08957699174</v>
      </c>
      <c r="P26" s="352">
        <f>+'4. CUSTOS VARIÁVEIS'!O74*12</f>
        <v>851905.08957699174</v>
      </c>
      <c r="Q26" s="352">
        <f>+'4. CUSTOS VARIÁVEIS'!P74*12</f>
        <v>851905.08957699174</v>
      </c>
      <c r="R26" s="352">
        <f>+'4. CUSTOS VARIÁVEIS'!Q74*12</f>
        <v>851905.08957699174</v>
      </c>
      <c r="S26" s="352">
        <f>+'4. CUSTOS VARIÁVEIS'!R74*12</f>
        <v>851905.08957699174</v>
      </c>
      <c r="T26" s="352">
        <f>+'4. CUSTOS VARIÁVEIS'!S74*12</f>
        <v>851905.08957699174</v>
      </c>
      <c r="U26" s="352">
        <f>+'4. CUSTOS VARIÁVEIS'!T74*12</f>
        <v>851905.08957699174</v>
      </c>
      <c r="X26" s="508">
        <f t="shared" si="11"/>
        <v>851905.08957699139</v>
      </c>
    </row>
    <row r="27" spans="1:26" ht="15.75" outlineLevel="2">
      <c r="A27" s="387"/>
      <c r="B27" s="387"/>
      <c r="C27" s="406"/>
      <c r="D27" s="296" t="s">
        <v>81</v>
      </c>
      <c r="E27" s="408"/>
      <c r="F27" s="72"/>
      <c r="G27" s="298">
        <f>+'4. CUSTOS VARIÁVEIS'!F75*12</f>
        <v>12302.80385098025</v>
      </c>
      <c r="H27" s="298">
        <f>+'4. CUSTOS VARIÁVEIS'!G75*12</f>
        <v>12302.80385098025</v>
      </c>
      <c r="I27" s="298">
        <f>+'4. CUSTOS VARIÁVEIS'!H75*12</f>
        <v>12302.80385098025</v>
      </c>
      <c r="J27" s="298">
        <f>+'4. CUSTOS VARIÁVEIS'!I75*12</f>
        <v>12302.80385098025</v>
      </c>
      <c r="K27" s="298">
        <f>+'4. CUSTOS VARIÁVEIS'!J75*12</f>
        <v>12302.80385098025</v>
      </c>
      <c r="L27" s="298">
        <f>+'4. CUSTOS VARIÁVEIS'!K75*12</f>
        <v>12302.80385098025</v>
      </c>
      <c r="M27" s="298">
        <f>+'4. CUSTOS VARIÁVEIS'!L75*12</f>
        <v>12302.80385098025</v>
      </c>
      <c r="N27" s="298">
        <f>+'4. CUSTOS VARIÁVEIS'!M75*12</f>
        <v>12302.80385098025</v>
      </c>
      <c r="O27" s="298">
        <f>+'4. CUSTOS VARIÁVEIS'!N75*12</f>
        <v>12302.80385098025</v>
      </c>
      <c r="P27" s="298">
        <f>+'4. CUSTOS VARIÁVEIS'!O75*12</f>
        <v>12302.80385098025</v>
      </c>
      <c r="Q27" s="298">
        <f>+'4. CUSTOS VARIÁVEIS'!P75*12</f>
        <v>12302.80385098025</v>
      </c>
      <c r="R27" s="298">
        <f>+'4. CUSTOS VARIÁVEIS'!Q75*12</f>
        <v>12302.80385098025</v>
      </c>
      <c r="S27" s="298">
        <f>+'4. CUSTOS VARIÁVEIS'!R75*12</f>
        <v>12302.80385098025</v>
      </c>
      <c r="T27" s="298">
        <f>+'4. CUSTOS VARIÁVEIS'!S75*12</f>
        <v>12302.80385098025</v>
      </c>
      <c r="U27" s="298">
        <f>+'4. CUSTOS VARIÁVEIS'!T75*12</f>
        <v>12302.80385098025</v>
      </c>
      <c r="X27" s="508">
        <f t="shared" si="11"/>
        <v>12302.803850980246</v>
      </c>
    </row>
    <row r="28" spans="1:26" ht="15.75" outlineLevel="2">
      <c r="A28" s="387"/>
      <c r="B28" s="387"/>
      <c r="C28" s="406"/>
      <c r="D28" s="296" t="s">
        <v>82</v>
      </c>
      <c r="E28" s="408"/>
      <c r="F28" s="72"/>
      <c r="G28" s="298">
        <f>+'4. CUSTOS VARIÁVEIS'!F76*12</f>
        <v>107433.41034427351</v>
      </c>
      <c r="H28" s="298">
        <f>+'4. CUSTOS VARIÁVEIS'!G76*12</f>
        <v>107433.41034427351</v>
      </c>
      <c r="I28" s="298">
        <f>+'4. CUSTOS VARIÁVEIS'!H76*12</f>
        <v>107433.41034427351</v>
      </c>
      <c r="J28" s="298">
        <f>+'4. CUSTOS VARIÁVEIS'!I76*12</f>
        <v>107433.41034427351</v>
      </c>
      <c r="K28" s="298">
        <f>+'4. CUSTOS VARIÁVEIS'!J76*12</f>
        <v>107433.41034427351</v>
      </c>
      <c r="L28" s="298">
        <f>+'4. CUSTOS VARIÁVEIS'!K76*12</f>
        <v>107433.41034427351</v>
      </c>
      <c r="M28" s="298">
        <f>+'4. CUSTOS VARIÁVEIS'!L76*12</f>
        <v>107433.41034427351</v>
      </c>
      <c r="N28" s="298">
        <f>+'4. CUSTOS VARIÁVEIS'!M76*12</f>
        <v>107433.41034427351</v>
      </c>
      <c r="O28" s="298">
        <f>+'4. CUSTOS VARIÁVEIS'!N76*12</f>
        <v>107433.41034427351</v>
      </c>
      <c r="P28" s="298">
        <f>+'4. CUSTOS VARIÁVEIS'!O76*12</f>
        <v>107433.41034427351</v>
      </c>
      <c r="Q28" s="298">
        <f>+'4. CUSTOS VARIÁVEIS'!P76*12</f>
        <v>107433.41034427351</v>
      </c>
      <c r="R28" s="298">
        <f>+'4. CUSTOS VARIÁVEIS'!Q76*12</f>
        <v>107433.41034427351</v>
      </c>
      <c r="S28" s="298">
        <f>+'4. CUSTOS VARIÁVEIS'!R76*12</f>
        <v>107433.41034427351</v>
      </c>
      <c r="T28" s="298">
        <f>+'4. CUSTOS VARIÁVEIS'!S76*12</f>
        <v>107433.41034427351</v>
      </c>
      <c r="U28" s="298">
        <f>+'4. CUSTOS VARIÁVEIS'!T76*12</f>
        <v>107433.41034427351</v>
      </c>
      <c r="X28" s="508">
        <f t="shared" si="11"/>
        <v>107433.41034427354</v>
      </c>
    </row>
    <row r="29" spans="1:26" ht="15.75" outlineLevel="2">
      <c r="A29" s="387"/>
      <c r="B29" s="387"/>
      <c r="C29" s="406"/>
      <c r="D29" s="296" t="s">
        <v>83</v>
      </c>
      <c r="E29" s="408"/>
      <c r="F29" s="72"/>
      <c r="G29" s="298">
        <f>+'4. CUSTOS VARIÁVEIS'!F77*12</f>
        <v>47141.172423375669</v>
      </c>
      <c r="H29" s="298">
        <f>+'4. CUSTOS VARIÁVEIS'!G77*12</f>
        <v>47141.172423375669</v>
      </c>
      <c r="I29" s="298">
        <f>+'4. CUSTOS VARIÁVEIS'!H77*12</f>
        <v>47141.172423375669</v>
      </c>
      <c r="J29" s="298">
        <f>+'4. CUSTOS VARIÁVEIS'!I77*12</f>
        <v>47141.172423375669</v>
      </c>
      <c r="K29" s="298">
        <f>+'4. CUSTOS VARIÁVEIS'!J77*12</f>
        <v>47141.172423375669</v>
      </c>
      <c r="L29" s="298">
        <f>+'4. CUSTOS VARIÁVEIS'!K77*12</f>
        <v>47141.172423375669</v>
      </c>
      <c r="M29" s="298">
        <f>+'4. CUSTOS VARIÁVEIS'!L77*12</f>
        <v>47141.172423375669</v>
      </c>
      <c r="N29" s="298">
        <f>+'4. CUSTOS VARIÁVEIS'!M77*12</f>
        <v>47141.172423375669</v>
      </c>
      <c r="O29" s="298">
        <f>+'4. CUSTOS VARIÁVEIS'!N77*12</f>
        <v>47141.172423375669</v>
      </c>
      <c r="P29" s="298">
        <f>+'4. CUSTOS VARIÁVEIS'!O77*12</f>
        <v>47141.172423375669</v>
      </c>
      <c r="Q29" s="298">
        <f>+'4. CUSTOS VARIÁVEIS'!P77*12</f>
        <v>47141.172423375669</v>
      </c>
      <c r="R29" s="298">
        <f>+'4. CUSTOS VARIÁVEIS'!Q77*12</f>
        <v>47141.172423375669</v>
      </c>
      <c r="S29" s="298">
        <f>+'4. CUSTOS VARIÁVEIS'!R77*12</f>
        <v>47141.172423375669</v>
      </c>
      <c r="T29" s="298">
        <f>+'4. CUSTOS VARIÁVEIS'!S77*12</f>
        <v>47141.172423375669</v>
      </c>
      <c r="U29" s="298">
        <f>+'4. CUSTOS VARIÁVEIS'!T77*12</f>
        <v>47141.172423375669</v>
      </c>
      <c r="X29" s="508">
        <f t="shared" si="11"/>
        <v>47141.172423375661</v>
      </c>
    </row>
    <row r="30" spans="1:26" ht="16.5" outlineLevel="2" thickBot="1">
      <c r="A30" s="387"/>
      <c r="B30" s="387"/>
      <c r="C30" s="406"/>
      <c r="D30" s="297" t="s">
        <v>84</v>
      </c>
      <c r="E30" s="409"/>
      <c r="F30" s="353"/>
      <c r="G30" s="354">
        <f>+'4. CUSTOS VARIÁVEIS'!F78*12</f>
        <v>197933.56804169132</v>
      </c>
      <c r="H30" s="354">
        <f>+'4. CUSTOS VARIÁVEIS'!G78*12</f>
        <v>197933.56804169132</v>
      </c>
      <c r="I30" s="354">
        <f>+'4. CUSTOS VARIÁVEIS'!H78*12</f>
        <v>197933.56804169132</v>
      </c>
      <c r="J30" s="354">
        <f>+'4. CUSTOS VARIÁVEIS'!I78*12</f>
        <v>197933.56804169132</v>
      </c>
      <c r="K30" s="354">
        <f>+'4. CUSTOS VARIÁVEIS'!J78*12</f>
        <v>197933.56804169132</v>
      </c>
      <c r="L30" s="354">
        <f>+'4. CUSTOS VARIÁVEIS'!K78*12</f>
        <v>197933.56804169132</v>
      </c>
      <c r="M30" s="354">
        <f>+'4. CUSTOS VARIÁVEIS'!L78*12</f>
        <v>197933.56804169132</v>
      </c>
      <c r="N30" s="354">
        <f>+'4. CUSTOS VARIÁVEIS'!M78*12</f>
        <v>197933.56804169132</v>
      </c>
      <c r="O30" s="354">
        <f>+'4. CUSTOS VARIÁVEIS'!N78*12</f>
        <v>197933.56804169132</v>
      </c>
      <c r="P30" s="354">
        <f>+'4. CUSTOS VARIÁVEIS'!O78*12</f>
        <v>197933.56804169132</v>
      </c>
      <c r="Q30" s="354">
        <f>+'4. CUSTOS VARIÁVEIS'!P78*12</f>
        <v>197933.56804169132</v>
      </c>
      <c r="R30" s="354">
        <f>+'4. CUSTOS VARIÁVEIS'!Q78*12</f>
        <v>197933.56804169132</v>
      </c>
      <c r="S30" s="354">
        <f>+'4. CUSTOS VARIÁVEIS'!R78*12</f>
        <v>197933.56804169132</v>
      </c>
      <c r="T30" s="354">
        <f>+'4. CUSTOS VARIÁVEIS'!S78*12</f>
        <v>197933.56804169132</v>
      </c>
      <c r="U30" s="354">
        <f>+'4. CUSTOS VARIÁVEIS'!T78*12</f>
        <v>197933.56804169132</v>
      </c>
      <c r="X30" s="508">
        <f t="shared" si="11"/>
        <v>197933.56804169138</v>
      </c>
    </row>
    <row r="31" spans="1:26" ht="18" customHeight="1" outlineLevel="1" thickBot="1">
      <c r="A31" s="387" t="s">
        <v>313</v>
      </c>
      <c r="B31" s="387"/>
      <c r="C31" s="286"/>
      <c r="D31" s="385" t="s">
        <v>234</v>
      </c>
      <c r="E31" s="345"/>
      <c r="F31" s="349" t="str">
        <f>F25</f>
        <v>(R$)</v>
      </c>
      <c r="G31" s="347">
        <f>+G32+G39</f>
        <v>1895007.4039840675</v>
      </c>
      <c r="H31" s="347">
        <f t="shared" ref="H31:U31" si="12">+H32+H39</f>
        <v>2105896.2121967338</v>
      </c>
      <c r="I31" s="347">
        <f t="shared" si="12"/>
        <v>2105896.2121967338</v>
      </c>
      <c r="J31" s="347">
        <f t="shared" si="12"/>
        <v>2105896.2121967338</v>
      </c>
      <c r="K31" s="347">
        <f t="shared" si="12"/>
        <v>2105896.2121967338</v>
      </c>
      <c r="L31" s="347">
        <f t="shared" si="12"/>
        <v>2105896.2121967338</v>
      </c>
      <c r="M31" s="347">
        <f t="shared" si="12"/>
        <v>2105896.2121967338</v>
      </c>
      <c r="N31" s="347">
        <f t="shared" si="12"/>
        <v>2105896.2121967338</v>
      </c>
      <c r="O31" s="347">
        <f t="shared" si="12"/>
        <v>2105896.2121967338</v>
      </c>
      <c r="P31" s="347">
        <f t="shared" si="12"/>
        <v>2105896.2121967338</v>
      </c>
      <c r="Q31" s="347">
        <f t="shared" si="12"/>
        <v>2105896.2121967338</v>
      </c>
      <c r="R31" s="347">
        <f t="shared" si="12"/>
        <v>2105896.2121967338</v>
      </c>
      <c r="S31" s="347">
        <f t="shared" si="12"/>
        <v>2105896.2121967338</v>
      </c>
      <c r="T31" s="347">
        <f t="shared" si="12"/>
        <v>2105896.2121967338</v>
      </c>
      <c r="U31" s="347">
        <f t="shared" si="12"/>
        <v>2105896.2121967338</v>
      </c>
      <c r="V31" s="355"/>
      <c r="X31" s="508">
        <f t="shared" si="11"/>
        <v>2091836.9583158896</v>
      </c>
      <c r="Y31" s="509">
        <f>+X31/$X$24</f>
        <v>0.52488884576074013</v>
      </c>
      <c r="Z31" s="402" t="s">
        <v>272</v>
      </c>
    </row>
    <row r="32" spans="1:26" ht="15.75" outlineLevel="1">
      <c r="A32" s="387"/>
      <c r="B32" s="387"/>
      <c r="C32" s="406"/>
      <c r="D32" s="410" t="s">
        <v>264</v>
      </c>
      <c r="E32" s="356"/>
      <c r="F32" s="357" t="str">
        <f>F31</f>
        <v>(R$)</v>
      </c>
      <c r="G32" s="358">
        <f>SUM(G33:G38)</f>
        <v>1404098.2661226883</v>
      </c>
      <c r="H32" s="358">
        <f t="shared" ref="H32:U32" si="13">SUM(H33:H38)</f>
        <v>1598888.6920290443</v>
      </c>
      <c r="I32" s="358">
        <f t="shared" si="13"/>
        <v>1598888.6920290443</v>
      </c>
      <c r="J32" s="358">
        <f t="shared" si="13"/>
        <v>1598888.6920290443</v>
      </c>
      <c r="K32" s="358">
        <f t="shared" si="13"/>
        <v>1598888.6920290443</v>
      </c>
      <c r="L32" s="358">
        <f t="shared" si="13"/>
        <v>1598888.6920290443</v>
      </c>
      <c r="M32" s="358">
        <f t="shared" si="13"/>
        <v>1598888.6920290443</v>
      </c>
      <c r="N32" s="358">
        <f t="shared" si="13"/>
        <v>1598888.6920290443</v>
      </c>
      <c r="O32" s="358">
        <f t="shared" si="13"/>
        <v>1598888.6920290443</v>
      </c>
      <c r="P32" s="358">
        <f t="shared" si="13"/>
        <v>1598888.6920290443</v>
      </c>
      <c r="Q32" s="358">
        <f t="shared" si="13"/>
        <v>1598888.6920290443</v>
      </c>
      <c r="R32" s="358">
        <f t="shared" si="13"/>
        <v>1598888.6920290443</v>
      </c>
      <c r="S32" s="358">
        <f t="shared" si="13"/>
        <v>1598888.6920290443</v>
      </c>
      <c r="T32" s="358">
        <f t="shared" si="13"/>
        <v>1598888.6920290443</v>
      </c>
      <c r="U32" s="358">
        <f t="shared" si="13"/>
        <v>1598888.6920290443</v>
      </c>
      <c r="X32" s="508">
        <f t="shared" si="11"/>
        <v>1585902.6636352872</v>
      </c>
      <c r="Y32" s="509">
        <f>+X32/$X$24</f>
        <v>0.39793857513378178</v>
      </c>
      <c r="Z32" s="402" t="s">
        <v>273</v>
      </c>
    </row>
    <row r="33" spans="1:26" ht="15.75" outlineLevel="2">
      <c r="A33" s="387"/>
      <c r="B33" s="387"/>
      <c r="C33" s="406"/>
      <c r="D33" s="295" t="s">
        <v>169</v>
      </c>
      <c r="E33" s="359"/>
      <c r="F33" s="360"/>
      <c r="G33" s="361">
        <f>+'5. CUSTOS FIXOS (PESSOAL)'!F85*12</f>
        <v>871851.696554592</v>
      </c>
      <c r="H33" s="361">
        <f>+'5. CUSTOS FIXOS (PESSOAL)'!G85*12</f>
        <v>1010565.5111472962</v>
      </c>
      <c r="I33" s="361">
        <f>+'5. CUSTOS FIXOS (PESSOAL)'!H85*12</f>
        <v>1010565.5111472962</v>
      </c>
      <c r="J33" s="361">
        <f>+'5. CUSTOS FIXOS (PESSOAL)'!I85*12</f>
        <v>1010565.5111472962</v>
      </c>
      <c r="K33" s="361">
        <f>+'5. CUSTOS FIXOS (PESSOAL)'!J85*12</f>
        <v>1010565.5111472962</v>
      </c>
      <c r="L33" s="361">
        <f>+'5. CUSTOS FIXOS (PESSOAL)'!K85*12</f>
        <v>1010565.5111472962</v>
      </c>
      <c r="M33" s="361">
        <f>+'5. CUSTOS FIXOS (PESSOAL)'!L85*12</f>
        <v>1010565.5111472962</v>
      </c>
      <c r="N33" s="361">
        <f>+'5. CUSTOS FIXOS (PESSOAL)'!M85*12</f>
        <v>1010565.5111472962</v>
      </c>
      <c r="O33" s="361">
        <f>+'5. CUSTOS FIXOS (PESSOAL)'!N85*12</f>
        <v>1010565.5111472962</v>
      </c>
      <c r="P33" s="361">
        <f>+'5. CUSTOS FIXOS (PESSOAL)'!O85*12</f>
        <v>1010565.5111472962</v>
      </c>
      <c r="Q33" s="361">
        <f>+'5. CUSTOS FIXOS (PESSOAL)'!P85*12</f>
        <v>1010565.5111472962</v>
      </c>
      <c r="R33" s="361">
        <f>+'5. CUSTOS FIXOS (PESSOAL)'!Q85*12</f>
        <v>1010565.5111472962</v>
      </c>
      <c r="S33" s="361">
        <f>+'5. CUSTOS FIXOS (PESSOAL)'!R85*12</f>
        <v>1010565.5111472962</v>
      </c>
      <c r="T33" s="361">
        <f>+'5. CUSTOS FIXOS (PESSOAL)'!S85*12</f>
        <v>1010565.5111472962</v>
      </c>
      <c r="U33" s="361">
        <f>+'5. CUSTOS FIXOS (PESSOAL)'!T85*12</f>
        <v>1010565.5111472962</v>
      </c>
    </row>
    <row r="34" spans="1:26" ht="15.75" outlineLevel="2">
      <c r="A34" s="387"/>
      <c r="B34" s="387"/>
      <c r="C34" s="406"/>
      <c r="D34" s="296" t="s">
        <v>170</v>
      </c>
      <c r="E34" s="362"/>
      <c r="F34" s="363"/>
      <c r="G34" s="298">
        <f>+'5. CUSTOS FIXOS (PESSOAL)'!F86*12</f>
        <v>90628.052506560009</v>
      </c>
      <c r="H34" s="298">
        <f>+'5. CUSTOS FIXOS (PESSOAL)'!G86*12</f>
        <v>105047.20535328002</v>
      </c>
      <c r="I34" s="298">
        <f>+'5. CUSTOS FIXOS (PESSOAL)'!H86*12</f>
        <v>105047.20535328002</v>
      </c>
      <c r="J34" s="298">
        <f>+'5. CUSTOS FIXOS (PESSOAL)'!I86*12</f>
        <v>105047.20535328002</v>
      </c>
      <c r="K34" s="298">
        <f>+'5. CUSTOS FIXOS (PESSOAL)'!J86*12</f>
        <v>105047.20535328002</v>
      </c>
      <c r="L34" s="298">
        <f>+'5. CUSTOS FIXOS (PESSOAL)'!K86*12</f>
        <v>105047.20535328002</v>
      </c>
      <c r="M34" s="298">
        <f>+'5. CUSTOS FIXOS (PESSOAL)'!L86*12</f>
        <v>105047.20535328002</v>
      </c>
      <c r="N34" s="298">
        <f>+'5. CUSTOS FIXOS (PESSOAL)'!M86*12</f>
        <v>105047.20535328002</v>
      </c>
      <c r="O34" s="298">
        <f>+'5. CUSTOS FIXOS (PESSOAL)'!N86*12</f>
        <v>105047.20535328002</v>
      </c>
      <c r="P34" s="298">
        <f>+'5. CUSTOS FIXOS (PESSOAL)'!O86*12</f>
        <v>105047.20535328002</v>
      </c>
      <c r="Q34" s="298">
        <f>+'5. CUSTOS FIXOS (PESSOAL)'!P86*12</f>
        <v>105047.20535328002</v>
      </c>
      <c r="R34" s="298">
        <f>+'5. CUSTOS FIXOS (PESSOAL)'!Q86*12</f>
        <v>105047.20535328002</v>
      </c>
      <c r="S34" s="298">
        <f>+'5. CUSTOS FIXOS (PESSOAL)'!R86*12</f>
        <v>105047.20535328002</v>
      </c>
      <c r="T34" s="298">
        <f>+'5. CUSTOS FIXOS (PESSOAL)'!S86*12</f>
        <v>105047.20535328002</v>
      </c>
      <c r="U34" s="298">
        <f>+'5. CUSTOS FIXOS (PESSOAL)'!T86*12</f>
        <v>105047.20535328002</v>
      </c>
    </row>
    <row r="35" spans="1:26" ht="15.75" outlineLevel="2">
      <c r="A35" s="387"/>
      <c r="B35" s="387"/>
      <c r="C35" s="406"/>
      <c r="D35" s="296" t="s">
        <v>171</v>
      </c>
      <c r="E35" s="362"/>
      <c r="F35" s="363"/>
      <c r="G35" s="298">
        <f>+'5. CUSTOS FIXOS (PESSOAL)'!F87*12</f>
        <v>49344.629552640014</v>
      </c>
      <c r="H35" s="298">
        <f>+'5. CUSTOS FIXOS (PESSOAL)'!G87*12</f>
        <v>57195.485176320013</v>
      </c>
      <c r="I35" s="298">
        <f>+'5. CUSTOS FIXOS (PESSOAL)'!H87*12</f>
        <v>57195.485176320013</v>
      </c>
      <c r="J35" s="298">
        <f>+'5. CUSTOS FIXOS (PESSOAL)'!I87*12</f>
        <v>57195.485176320013</v>
      </c>
      <c r="K35" s="298">
        <f>+'5. CUSTOS FIXOS (PESSOAL)'!J87*12</f>
        <v>57195.485176320013</v>
      </c>
      <c r="L35" s="298">
        <f>+'5. CUSTOS FIXOS (PESSOAL)'!K87*12</f>
        <v>57195.485176320013</v>
      </c>
      <c r="M35" s="298">
        <f>+'5. CUSTOS FIXOS (PESSOAL)'!L87*12</f>
        <v>57195.485176320013</v>
      </c>
      <c r="N35" s="298">
        <f>+'5. CUSTOS FIXOS (PESSOAL)'!M87*12</f>
        <v>57195.485176320013</v>
      </c>
      <c r="O35" s="298">
        <f>+'5. CUSTOS FIXOS (PESSOAL)'!N87*12</f>
        <v>57195.485176320013</v>
      </c>
      <c r="P35" s="298">
        <f>+'5. CUSTOS FIXOS (PESSOAL)'!O87*12</f>
        <v>57195.485176320013</v>
      </c>
      <c r="Q35" s="298">
        <f>+'5. CUSTOS FIXOS (PESSOAL)'!P87*12</f>
        <v>57195.485176320013</v>
      </c>
      <c r="R35" s="298">
        <f>+'5. CUSTOS FIXOS (PESSOAL)'!Q87*12</f>
        <v>57195.485176320013</v>
      </c>
      <c r="S35" s="298">
        <f>+'5. CUSTOS FIXOS (PESSOAL)'!R87*12</f>
        <v>57195.485176320013</v>
      </c>
      <c r="T35" s="298">
        <f>+'5. CUSTOS FIXOS (PESSOAL)'!S87*12</f>
        <v>57195.485176320013</v>
      </c>
      <c r="U35" s="298">
        <f>+'5. CUSTOS FIXOS (PESSOAL)'!T87*12</f>
        <v>57195.485176320013</v>
      </c>
    </row>
    <row r="36" spans="1:26" ht="15.75" outlineLevel="2">
      <c r="A36" s="387"/>
      <c r="B36" s="387"/>
      <c r="C36" s="406"/>
      <c r="D36" s="296" t="s">
        <v>172</v>
      </c>
      <c r="E36" s="362"/>
      <c r="F36" s="363"/>
      <c r="G36" s="298">
        <f>+'5. CUSTOS FIXOS (PESSOAL)'!F88*12</f>
        <v>126478.04732672402</v>
      </c>
      <c r="H36" s="298">
        <f>+'5. CUSTOS FIXOS (PESSOAL)'!G88*12</f>
        <v>146601.02520961204</v>
      </c>
      <c r="I36" s="298">
        <f>+'5. CUSTOS FIXOS (PESSOAL)'!H88*12</f>
        <v>146601.02520961204</v>
      </c>
      <c r="J36" s="298">
        <f>+'5. CUSTOS FIXOS (PESSOAL)'!I88*12</f>
        <v>146601.02520961204</v>
      </c>
      <c r="K36" s="298">
        <f>+'5. CUSTOS FIXOS (PESSOAL)'!J88*12</f>
        <v>146601.02520961204</v>
      </c>
      <c r="L36" s="298">
        <f>+'5. CUSTOS FIXOS (PESSOAL)'!K88*12</f>
        <v>146601.02520961204</v>
      </c>
      <c r="M36" s="298">
        <f>+'5. CUSTOS FIXOS (PESSOAL)'!L88*12</f>
        <v>146601.02520961204</v>
      </c>
      <c r="N36" s="298">
        <f>+'5. CUSTOS FIXOS (PESSOAL)'!M88*12</f>
        <v>146601.02520961204</v>
      </c>
      <c r="O36" s="298">
        <f>+'5. CUSTOS FIXOS (PESSOAL)'!N88*12</f>
        <v>146601.02520961204</v>
      </c>
      <c r="P36" s="298">
        <f>+'5. CUSTOS FIXOS (PESSOAL)'!O88*12</f>
        <v>146601.02520961204</v>
      </c>
      <c r="Q36" s="298">
        <f>+'5. CUSTOS FIXOS (PESSOAL)'!P88*12</f>
        <v>146601.02520961204</v>
      </c>
      <c r="R36" s="298">
        <f>+'5. CUSTOS FIXOS (PESSOAL)'!Q88*12</f>
        <v>146601.02520961204</v>
      </c>
      <c r="S36" s="298">
        <f>+'5. CUSTOS FIXOS (PESSOAL)'!R88*12</f>
        <v>146601.02520961204</v>
      </c>
      <c r="T36" s="298">
        <f>+'5. CUSTOS FIXOS (PESSOAL)'!S88*12</f>
        <v>146601.02520961204</v>
      </c>
      <c r="U36" s="298">
        <f>+'5. CUSTOS FIXOS (PESSOAL)'!T88*12</f>
        <v>146601.02520961204</v>
      </c>
    </row>
    <row r="37" spans="1:26" ht="15.75" outlineLevel="2">
      <c r="A37" s="387"/>
      <c r="B37" s="387"/>
      <c r="C37" s="406"/>
      <c r="D37" s="296" t="s">
        <v>173</v>
      </c>
      <c r="E37" s="362"/>
      <c r="F37" s="363"/>
      <c r="G37" s="298">
        <f>+'5. CUSTOS FIXOS (PESSOAL)'!F89*12</f>
        <v>86005.072182172342</v>
      </c>
      <c r="H37" s="298">
        <f>+'5. CUSTOS FIXOS (PESSOAL)'!G89*12</f>
        <v>99688.697142536199</v>
      </c>
      <c r="I37" s="298">
        <f>+'5. CUSTOS FIXOS (PESSOAL)'!H89*12</f>
        <v>99688.697142536199</v>
      </c>
      <c r="J37" s="298">
        <f>+'5. CUSTOS FIXOS (PESSOAL)'!I89*12</f>
        <v>99688.697142536199</v>
      </c>
      <c r="K37" s="298">
        <f>+'5. CUSTOS FIXOS (PESSOAL)'!J89*12</f>
        <v>99688.697142536199</v>
      </c>
      <c r="L37" s="298">
        <f>+'5. CUSTOS FIXOS (PESSOAL)'!K89*12</f>
        <v>99688.697142536199</v>
      </c>
      <c r="M37" s="298">
        <f>+'5. CUSTOS FIXOS (PESSOAL)'!L89*12</f>
        <v>99688.697142536199</v>
      </c>
      <c r="N37" s="298">
        <f>+'5. CUSTOS FIXOS (PESSOAL)'!M89*12</f>
        <v>99688.697142536199</v>
      </c>
      <c r="O37" s="298">
        <f>+'5. CUSTOS FIXOS (PESSOAL)'!N89*12</f>
        <v>99688.697142536199</v>
      </c>
      <c r="P37" s="298">
        <f>+'5. CUSTOS FIXOS (PESSOAL)'!O89*12</f>
        <v>99688.697142536199</v>
      </c>
      <c r="Q37" s="298">
        <f>+'5. CUSTOS FIXOS (PESSOAL)'!P89*12</f>
        <v>99688.697142536199</v>
      </c>
      <c r="R37" s="298">
        <f>+'5. CUSTOS FIXOS (PESSOAL)'!Q89*12</f>
        <v>99688.697142536199</v>
      </c>
      <c r="S37" s="298">
        <f>+'5. CUSTOS FIXOS (PESSOAL)'!R89*12</f>
        <v>99688.697142536199</v>
      </c>
      <c r="T37" s="298">
        <f>+'5. CUSTOS FIXOS (PESSOAL)'!S89*12</f>
        <v>99688.697142536199</v>
      </c>
      <c r="U37" s="298">
        <f>+'5. CUSTOS FIXOS (PESSOAL)'!T89*12</f>
        <v>99688.697142536199</v>
      </c>
    </row>
    <row r="38" spans="1:26" ht="15.75" outlineLevel="2">
      <c r="A38" s="387"/>
      <c r="B38" s="387"/>
      <c r="C38" s="406"/>
      <c r="D38" s="296" t="s">
        <v>185</v>
      </c>
      <c r="E38" s="362"/>
      <c r="F38" s="363"/>
      <c r="G38" s="298">
        <f>+'5. CUSTOS FIXOS (PESSOAL)'!F90*12</f>
        <v>179790.76800000001</v>
      </c>
      <c r="H38" s="298">
        <f>+'5. CUSTOS FIXOS (PESSOAL)'!G90*12</f>
        <v>179790.76800000001</v>
      </c>
      <c r="I38" s="298">
        <f>+'5. CUSTOS FIXOS (PESSOAL)'!H90*12</f>
        <v>179790.76800000001</v>
      </c>
      <c r="J38" s="298">
        <f>+'5. CUSTOS FIXOS (PESSOAL)'!I90*12</f>
        <v>179790.76800000001</v>
      </c>
      <c r="K38" s="298">
        <f>+'5. CUSTOS FIXOS (PESSOAL)'!J90*12</f>
        <v>179790.76800000001</v>
      </c>
      <c r="L38" s="298">
        <f>+'5. CUSTOS FIXOS (PESSOAL)'!K90*12</f>
        <v>179790.76800000001</v>
      </c>
      <c r="M38" s="298">
        <f>+'5. CUSTOS FIXOS (PESSOAL)'!L90*12</f>
        <v>179790.76800000001</v>
      </c>
      <c r="N38" s="298">
        <f>+'5. CUSTOS FIXOS (PESSOAL)'!M90*12</f>
        <v>179790.76800000001</v>
      </c>
      <c r="O38" s="298">
        <f>+'5. CUSTOS FIXOS (PESSOAL)'!N90*12</f>
        <v>179790.76800000001</v>
      </c>
      <c r="P38" s="298">
        <f>+'5. CUSTOS FIXOS (PESSOAL)'!O90*12</f>
        <v>179790.76800000001</v>
      </c>
      <c r="Q38" s="298">
        <f>+'5. CUSTOS FIXOS (PESSOAL)'!P90*12</f>
        <v>179790.76800000001</v>
      </c>
      <c r="R38" s="298">
        <f>+'5. CUSTOS FIXOS (PESSOAL)'!Q90*12</f>
        <v>179790.76800000001</v>
      </c>
      <c r="S38" s="298">
        <f>+'5. CUSTOS FIXOS (PESSOAL)'!R90*12</f>
        <v>179790.76800000001</v>
      </c>
      <c r="T38" s="298">
        <f>+'5. CUSTOS FIXOS (PESSOAL)'!S90*12</f>
        <v>179790.76800000001</v>
      </c>
      <c r="U38" s="298">
        <f>+'5. CUSTOS FIXOS (PESSOAL)'!T90*12</f>
        <v>179790.76800000001</v>
      </c>
    </row>
    <row r="39" spans="1:26" ht="15.75">
      <c r="A39" s="387"/>
      <c r="B39" s="387"/>
      <c r="C39" s="406"/>
      <c r="D39" s="411" t="s">
        <v>235</v>
      </c>
      <c r="E39" s="364"/>
      <c r="F39" s="365" t="str">
        <f>F32</f>
        <v>(R$)</v>
      </c>
      <c r="G39" s="366">
        <f>SUM(G40:G46)</f>
        <v>490909.13786137919</v>
      </c>
      <c r="H39" s="366">
        <f t="shared" ref="H39:U39" si="14">SUM(H40:H46)</f>
        <v>507007.5201676896</v>
      </c>
      <c r="I39" s="366">
        <f t="shared" si="14"/>
        <v>507007.5201676896</v>
      </c>
      <c r="J39" s="366">
        <f t="shared" si="14"/>
        <v>507007.5201676896</v>
      </c>
      <c r="K39" s="366">
        <f t="shared" si="14"/>
        <v>507007.5201676896</v>
      </c>
      <c r="L39" s="366">
        <f t="shared" si="14"/>
        <v>507007.5201676896</v>
      </c>
      <c r="M39" s="366">
        <f t="shared" si="14"/>
        <v>507007.5201676896</v>
      </c>
      <c r="N39" s="366">
        <f t="shared" si="14"/>
        <v>507007.5201676896</v>
      </c>
      <c r="O39" s="366">
        <f t="shared" si="14"/>
        <v>507007.5201676896</v>
      </c>
      <c r="P39" s="366">
        <f t="shared" si="14"/>
        <v>507007.5201676896</v>
      </c>
      <c r="Q39" s="366">
        <f t="shared" si="14"/>
        <v>507007.5201676896</v>
      </c>
      <c r="R39" s="366">
        <f t="shared" si="14"/>
        <v>507007.5201676896</v>
      </c>
      <c r="S39" s="366">
        <f t="shared" si="14"/>
        <v>507007.5201676896</v>
      </c>
      <c r="T39" s="366">
        <f t="shared" si="14"/>
        <v>507007.5201676896</v>
      </c>
      <c r="U39" s="366">
        <f t="shared" si="14"/>
        <v>507007.5201676896</v>
      </c>
      <c r="X39" s="508">
        <f>AVERAGE(G39,H39,I39,J39,K39,L39,M39,N39,O39,P39,Q39,R39,S39,T39,U39)</f>
        <v>505934.29468060232</v>
      </c>
      <c r="Y39" s="509">
        <f>+X39/$X$24</f>
        <v>0.12695027062695832</v>
      </c>
      <c r="Z39" s="402" t="s">
        <v>274</v>
      </c>
    </row>
    <row r="40" spans="1:26" ht="15.75" outlineLevel="1">
      <c r="A40" s="387"/>
      <c r="B40" s="387"/>
      <c r="C40" s="406"/>
      <c r="D40" s="295" t="s">
        <v>265</v>
      </c>
      <c r="E40" s="359"/>
      <c r="F40" s="360"/>
      <c r="G40" s="361">
        <f>+'6. CUSTOS ADMINISTRATIVOS'!G89*12</f>
        <v>1463.9799999999996</v>
      </c>
      <c r="H40" s="361">
        <f>+'6. CUSTOS ADMINISTRATIVOS'!H89*12</f>
        <v>1463.9799999999996</v>
      </c>
      <c r="I40" s="361">
        <f>+'6. CUSTOS ADMINISTRATIVOS'!I89*12</f>
        <v>1463.9799999999996</v>
      </c>
      <c r="J40" s="361">
        <f>+'6. CUSTOS ADMINISTRATIVOS'!J89*12</f>
        <v>1463.9799999999996</v>
      </c>
      <c r="K40" s="361">
        <f>+'6. CUSTOS ADMINISTRATIVOS'!K89*12</f>
        <v>1463.9799999999996</v>
      </c>
      <c r="L40" s="361">
        <f>+'6. CUSTOS ADMINISTRATIVOS'!L89*12</f>
        <v>1463.9799999999996</v>
      </c>
      <c r="M40" s="361">
        <f>+'6. CUSTOS ADMINISTRATIVOS'!M89*12</f>
        <v>1463.9799999999996</v>
      </c>
      <c r="N40" s="361">
        <f>+'6. CUSTOS ADMINISTRATIVOS'!N89*12</f>
        <v>1463.9799999999996</v>
      </c>
      <c r="O40" s="361">
        <f>+'6. CUSTOS ADMINISTRATIVOS'!O89*12</f>
        <v>1463.9799999999996</v>
      </c>
      <c r="P40" s="361">
        <f>+'6. CUSTOS ADMINISTRATIVOS'!P89*12</f>
        <v>1463.9799999999996</v>
      </c>
      <c r="Q40" s="361">
        <f>+'6. CUSTOS ADMINISTRATIVOS'!Q89*12</f>
        <v>1463.9799999999996</v>
      </c>
      <c r="R40" s="361">
        <f>+'6. CUSTOS ADMINISTRATIVOS'!R89*12</f>
        <v>1463.9799999999996</v>
      </c>
      <c r="S40" s="361">
        <f>+'6. CUSTOS ADMINISTRATIVOS'!S89*12</f>
        <v>1463.9799999999996</v>
      </c>
      <c r="T40" s="361">
        <f>+'6. CUSTOS ADMINISTRATIVOS'!T89*12</f>
        <v>1463.9799999999996</v>
      </c>
      <c r="U40" s="361">
        <f>+'6. CUSTOS ADMINISTRATIVOS'!U89*12</f>
        <v>1463.9799999999996</v>
      </c>
    </row>
    <row r="41" spans="1:26" ht="15.75" outlineLevel="1">
      <c r="A41" s="387"/>
      <c r="B41" s="387"/>
      <c r="C41" s="406"/>
      <c r="D41" s="296" t="s">
        <v>266</v>
      </c>
      <c r="E41" s="362"/>
      <c r="F41" s="363"/>
      <c r="G41" s="298">
        <f>+'6. CUSTOS ADMINISTRATIVOS'!G90*12</f>
        <v>11901.12</v>
      </c>
      <c r="H41" s="298">
        <f>+'6. CUSTOS ADMINISTRATIVOS'!H90*12</f>
        <v>11901.12</v>
      </c>
      <c r="I41" s="298">
        <f>+'6. CUSTOS ADMINISTRATIVOS'!I90*12</f>
        <v>11901.12</v>
      </c>
      <c r="J41" s="298">
        <f>+'6. CUSTOS ADMINISTRATIVOS'!J90*12</f>
        <v>11901.12</v>
      </c>
      <c r="K41" s="298">
        <f>+'6. CUSTOS ADMINISTRATIVOS'!K90*12</f>
        <v>11901.12</v>
      </c>
      <c r="L41" s="298">
        <f>+'6. CUSTOS ADMINISTRATIVOS'!L90*12</f>
        <v>11901.12</v>
      </c>
      <c r="M41" s="298">
        <f>+'6. CUSTOS ADMINISTRATIVOS'!M90*12</f>
        <v>11901.12</v>
      </c>
      <c r="N41" s="298">
        <f>+'6. CUSTOS ADMINISTRATIVOS'!N90*12</f>
        <v>11901.12</v>
      </c>
      <c r="O41" s="298">
        <f>+'6. CUSTOS ADMINISTRATIVOS'!O90*12</f>
        <v>11901.12</v>
      </c>
      <c r="P41" s="298">
        <f>+'6. CUSTOS ADMINISTRATIVOS'!P90*12</f>
        <v>11901.12</v>
      </c>
      <c r="Q41" s="298">
        <f>+'6. CUSTOS ADMINISTRATIVOS'!Q90*12</f>
        <v>11901.12</v>
      </c>
      <c r="R41" s="298">
        <f>+'6. CUSTOS ADMINISTRATIVOS'!R90*12</f>
        <v>11901.12</v>
      </c>
      <c r="S41" s="298">
        <f>+'6. CUSTOS ADMINISTRATIVOS'!S90*12</f>
        <v>11901.12</v>
      </c>
      <c r="T41" s="298">
        <f>+'6. CUSTOS ADMINISTRATIVOS'!T90*12</f>
        <v>11901.12</v>
      </c>
      <c r="U41" s="298">
        <f>+'6. CUSTOS ADMINISTRATIVOS'!U90*12</f>
        <v>11901.12</v>
      </c>
    </row>
    <row r="42" spans="1:26" ht="15.75" outlineLevel="1">
      <c r="A42" s="387"/>
      <c r="B42" s="387"/>
      <c r="C42" s="406"/>
      <c r="D42" s="296" t="s">
        <v>267</v>
      </c>
      <c r="E42" s="362"/>
      <c r="F42" s="363"/>
      <c r="G42" s="298">
        <f>+'6. CUSTOS ADMINISTRATIVOS'!G91*12</f>
        <v>119504.00000000001</v>
      </c>
      <c r="H42" s="298">
        <f>+'6. CUSTOS ADMINISTRATIVOS'!H91*12</f>
        <v>119504.00000000001</v>
      </c>
      <c r="I42" s="298">
        <f>+'6. CUSTOS ADMINISTRATIVOS'!I91*12</f>
        <v>119504.00000000001</v>
      </c>
      <c r="J42" s="298">
        <f>+'6. CUSTOS ADMINISTRATIVOS'!J91*12</f>
        <v>119504.00000000001</v>
      </c>
      <c r="K42" s="298">
        <f>+'6. CUSTOS ADMINISTRATIVOS'!K91*12</f>
        <v>119504.00000000001</v>
      </c>
      <c r="L42" s="298">
        <f>+'6. CUSTOS ADMINISTRATIVOS'!L91*12</f>
        <v>119504.00000000001</v>
      </c>
      <c r="M42" s="298">
        <f>+'6. CUSTOS ADMINISTRATIVOS'!M91*12</f>
        <v>119504.00000000001</v>
      </c>
      <c r="N42" s="298">
        <f>+'6. CUSTOS ADMINISTRATIVOS'!N91*12</f>
        <v>119504.00000000001</v>
      </c>
      <c r="O42" s="298">
        <f>+'6. CUSTOS ADMINISTRATIVOS'!O91*12</f>
        <v>119504.00000000001</v>
      </c>
      <c r="P42" s="298">
        <f>+'6. CUSTOS ADMINISTRATIVOS'!P91*12</f>
        <v>119504.00000000001</v>
      </c>
      <c r="Q42" s="298">
        <f>+'6. CUSTOS ADMINISTRATIVOS'!Q91*12</f>
        <v>119504.00000000001</v>
      </c>
      <c r="R42" s="298">
        <f>+'6. CUSTOS ADMINISTRATIVOS'!R91*12</f>
        <v>119504.00000000001</v>
      </c>
      <c r="S42" s="298">
        <f>+'6. CUSTOS ADMINISTRATIVOS'!S91*12</f>
        <v>119504.00000000001</v>
      </c>
      <c r="T42" s="298">
        <f>+'6. CUSTOS ADMINISTRATIVOS'!T91*12</f>
        <v>119504.00000000001</v>
      </c>
      <c r="U42" s="298">
        <f>+'6. CUSTOS ADMINISTRATIVOS'!U91*12</f>
        <v>119504.00000000001</v>
      </c>
    </row>
    <row r="43" spans="1:26" ht="15.75" outlineLevel="1">
      <c r="A43" s="387"/>
      <c r="B43" s="387"/>
      <c r="C43" s="406"/>
      <c r="D43" s="296" t="s">
        <v>268</v>
      </c>
      <c r="E43" s="362"/>
      <c r="F43" s="363"/>
      <c r="G43" s="298">
        <f>+'6. CUSTOS ADMINISTRATIVOS'!G92*12</f>
        <v>101182.43786137922</v>
      </c>
      <c r="H43" s="298">
        <f>+'6. CUSTOS ADMINISTRATIVOS'!H92*12</f>
        <v>117280.82016768961</v>
      </c>
      <c r="I43" s="298">
        <f>+'6. CUSTOS ADMINISTRATIVOS'!I92*12</f>
        <v>117280.82016768961</v>
      </c>
      <c r="J43" s="298">
        <f>+'6. CUSTOS ADMINISTRATIVOS'!J92*12</f>
        <v>117280.82016768961</v>
      </c>
      <c r="K43" s="298">
        <f>+'6. CUSTOS ADMINISTRATIVOS'!K92*12</f>
        <v>117280.82016768961</v>
      </c>
      <c r="L43" s="298">
        <f>+'6. CUSTOS ADMINISTRATIVOS'!L92*12</f>
        <v>117280.82016768961</v>
      </c>
      <c r="M43" s="298">
        <f>+'6. CUSTOS ADMINISTRATIVOS'!M92*12</f>
        <v>117280.82016768961</v>
      </c>
      <c r="N43" s="298">
        <f>+'6. CUSTOS ADMINISTRATIVOS'!N92*12</f>
        <v>117280.82016768961</v>
      </c>
      <c r="O43" s="298">
        <f>+'6. CUSTOS ADMINISTRATIVOS'!O92*12</f>
        <v>117280.82016768961</v>
      </c>
      <c r="P43" s="298">
        <f>+'6. CUSTOS ADMINISTRATIVOS'!P92*12</f>
        <v>117280.82016768961</v>
      </c>
      <c r="Q43" s="298">
        <f>+'6. CUSTOS ADMINISTRATIVOS'!Q92*12</f>
        <v>117280.82016768961</v>
      </c>
      <c r="R43" s="298">
        <f>+'6. CUSTOS ADMINISTRATIVOS'!R92*12</f>
        <v>117280.82016768961</v>
      </c>
      <c r="S43" s="298">
        <f>+'6. CUSTOS ADMINISTRATIVOS'!S92*12</f>
        <v>117280.82016768961</v>
      </c>
      <c r="T43" s="298">
        <f>+'6. CUSTOS ADMINISTRATIVOS'!T92*12</f>
        <v>117280.82016768961</v>
      </c>
      <c r="U43" s="298">
        <f>+'6. CUSTOS ADMINISTRATIVOS'!U92*12</f>
        <v>117280.82016768961</v>
      </c>
    </row>
    <row r="44" spans="1:26" ht="15.75" outlineLevel="1">
      <c r="A44" s="387"/>
      <c r="B44" s="387"/>
      <c r="C44" s="406"/>
      <c r="D44" s="296" t="s">
        <v>270</v>
      </c>
      <c r="E44" s="362"/>
      <c r="F44" s="363"/>
      <c r="G44" s="298">
        <f>+'6. CUSTOS ADMINISTRATIVOS'!G93*12</f>
        <v>18417.599999999999</v>
      </c>
      <c r="H44" s="298">
        <f>+'6. CUSTOS ADMINISTRATIVOS'!H93*12</f>
        <v>18417.599999999999</v>
      </c>
      <c r="I44" s="298">
        <f>+'6. CUSTOS ADMINISTRATIVOS'!I93*12</f>
        <v>18417.599999999999</v>
      </c>
      <c r="J44" s="298">
        <f>+'6. CUSTOS ADMINISTRATIVOS'!J93*12</f>
        <v>18417.599999999999</v>
      </c>
      <c r="K44" s="298">
        <f>+'6. CUSTOS ADMINISTRATIVOS'!K93*12</f>
        <v>18417.599999999999</v>
      </c>
      <c r="L44" s="298">
        <f>+'6. CUSTOS ADMINISTRATIVOS'!L93*12</f>
        <v>18417.599999999999</v>
      </c>
      <c r="M44" s="298">
        <f>+'6. CUSTOS ADMINISTRATIVOS'!M93*12</f>
        <v>18417.599999999999</v>
      </c>
      <c r="N44" s="298">
        <f>+'6. CUSTOS ADMINISTRATIVOS'!N93*12</f>
        <v>18417.599999999999</v>
      </c>
      <c r="O44" s="298">
        <f>+'6. CUSTOS ADMINISTRATIVOS'!O93*12</f>
        <v>18417.599999999999</v>
      </c>
      <c r="P44" s="298">
        <f>+'6. CUSTOS ADMINISTRATIVOS'!P93*12</f>
        <v>18417.599999999999</v>
      </c>
      <c r="Q44" s="298">
        <f>+'6. CUSTOS ADMINISTRATIVOS'!Q93*12</f>
        <v>18417.599999999999</v>
      </c>
      <c r="R44" s="298">
        <f>+'6. CUSTOS ADMINISTRATIVOS'!R93*12</f>
        <v>18417.599999999999</v>
      </c>
      <c r="S44" s="298">
        <f>+'6. CUSTOS ADMINISTRATIVOS'!S93*12</f>
        <v>18417.599999999999</v>
      </c>
      <c r="T44" s="298">
        <f>+'6. CUSTOS ADMINISTRATIVOS'!T93*12</f>
        <v>18417.599999999999</v>
      </c>
      <c r="U44" s="298">
        <f>+'6. CUSTOS ADMINISTRATIVOS'!U93*12</f>
        <v>18417.599999999999</v>
      </c>
    </row>
    <row r="45" spans="1:26" ht="15.75" outlineLevel="1">
      <c r="A45" s="387"/>
      <c r="B45" s="387"/>
      <c r="C45" s="406"/>
      <c r="D45" s="296" t="s">
        <v>361</v>
      </c>
      <c r="E45" s="362"/>
      <c r="F45" s="363"/>
      <c r="G45" s="298">
        <f>+'6. CUSTOS ADMINISTRATIVOS'!G75</f>
        <v>118440</v>
      </c>
      <c r="H45" s="298">
        <f>+'6. CUSTOS ADMINISTRATIVOS'!H94*12</f>
        <v>118440</v>
      </c>
      <c r="I45" s="298">
        <f>+'6. CUSTOS ADMINISTRATIVOS'!I94*12</f>
        <v>118440</v>
      </c>
      <c r="J45" s="298">
        <f>+'6. CUSTOS ADMINISTRATIVOS'!J94*12</f>
        <v>118440</v>
      </c>
      <c r="K45" s="298">
        <f>+'6. CUSTOS ADMINISTRATIVOS'!K94*12</f>
        <v>118440</v>
      </c>
      <c r="L45" s="298">
        <f>+'6. CUSTOS ADMINISTRATIVOS'!L94*12</f>
        <v>118440</v>
      </c>
      <c r="M45" s="298">
        <f>+'6. CUSTOS ADMINISTRATIVOS'!M94*12</f>
        <v>118440</v>
      </c>
      <c r="N45" s="298">
        <f>+'6. CUSTOS ADMINISTRATIVOS'!N94*12</f>
        <v>118440</v>
      </c>
      <c r="O45" s="298">
        <f>+'6. CUSTOS ADMINISTRATIVOS'!O94*12</f>
        <v>118440</v>
      </c>
      <c r="P45" s="298">
        <f>+'6. CUSTOS ADMINISTRATIVOS'!P94*12</f>
        <v>118440</v>
      </c>
      <c r="Q45" s="298">
        <f>+'6. CUSTOS ADMINISTRATIVOS'!Q94*12</f>
        <v>118440</v>
      </c>
      <c r="R45" s="298">
        <f>+'6. CUSTOS ADMINISTRATIVOS'!R94*12</f>
        <v>118440</v>
      </c>
      <c r="S45" s="298">
        <f>+'6. CUSTOS ADMINISTRATIVOS'!S94*12</f>
        <v>118440</v>
      </c>
      <c r="T45" s="298">
        <f>+'6. CUSTOS ADMINISTRATIVOS'!T94*12</f>
        <v>118440</v>
      </c>
      <c r="U45" s="298">
        <f>+'6. CUSTOS ADMINISTRATIVOS'!U94*12</f>
        <v>118440</v>
      </c>
    </row>
    <row r="46" spans="1:26" ht="16.5" outlineLevel="1" thickBot="1">
      <c r="A46" s="387"/>
      <c r="B46" s="387"/>
      <c r="C46" s="406"/>
      <c r="D46" s="296" t="s">
        <v>362</v>
      </c>
      <c r="E46" s="362"/>
      <c r="F46" s="363"/>
      <c r="G46" s="298">
        <f>+'6. CUSTOS ADMINISTRATIVOS'!G83</f>
        <v>120000</v>
      </c>
      <c r="H46" s="298">
        <f>+'6. CUSTOS ADMINISTRATIVOS'!H83</f>
        <v>120000</v>
      </c>
      <c r="I46" s="298">
        <f>+'6. CUSTOS ADMINISTRATIVOS'!I83</f>
        <v>120000</v>
      </c>
      <c r="J46" s="298">
        <f>+'6. CUSTOS ADMINISTRATIVOS'!J83</f>
        <v>120000</v>
      </c>
      <c r="K46" s="298">
        <f>+'6. CUSTOS ADMINISTRATIVOS'!K83</f>
        <v>120000</v>
      </c>
      <c r="L46" s="298">
        <f>+'6. CUSTOS ADMINISTRATIVOS'!L83</f>
        <v>120000</v>
      </c>
      <c r="M46" s="298">
        <f>+'6. CUSTOS ADMINISTRATIVOS'!M83</f>
        <v>120000</v>
      </c>
      <c r="N46" s="298">
        <f>+'6. CUSTOS ADMINISTRATIVOS'!N83</f>
        <v>120000</v>
      </c>
      <c r="O46" s="298">
        <f>+'6. CUSTOS ADMINISTRATIVOS'!O83</f>
        <v>120000</v>
      </c>
      <c r="P46" s="298">
        <f>+'6. CUSTOS ADMINISTRATIVOS'!P83</f>
        <v>120000</v>
      </c>
      <c r="Q46" s="298">
        <f>+'6. CUSTOS ADMINISTRATIVOS'!Q83</f>
        <v>120000</v>
      </c>
      <c r="R46" s="298">
        <f>+'6. CUSTOS ADMINISTRATIVOS'!R83</f>
        <v>120000</v>
      </c>
      <c r="S46" s="298">
        <f>+'6. CUSTOS ADMINISTRATIVOS'!S83</f>
        <v>120000</v>
      </c>
      <c r="T46" s="298">
        <f>+'6. CUSTOS ADMINISTRATIVOS'!T83</f>
        <v>120000</v>
      </c>
      <c r="U46" s="298">
        <f>+'6. CUSTOS ADMINISTRATIVOS'!U83</f>
        <v>120000</v>
      </c>
    </row>
    <row r="47" spans="1:26" ht="31.5" customHeight="1" thickBot="1">
      <c r="A47" s="387" t="s">
        <v>346</v>
      </c>
      <c r="B47" s="387"/>
      <c r="C47" s="729" t="s">
        <v>366</v>
      </c>
      <c r="D47" s="729"/>
      <c r="E47" s="729"/>
      <c r="F47" s="346" t="str">
        <f>F39</f>
        <v>(R$)</v>
      </c>
      <c r="G47" s="347">
        <f t="shared" ref="G47:U47" si="15">G22-G24</f>
        <v>999171.91977861989</v>
      </c>
      <c r="H47" s="347">
        <f t="shared" si="15"/>
        <v>876689.46356595354</v>
      </c>
      <c r="I47" s="347">
        <f t="shared" si="15"/>
        <v>876689.46356595354</v>
      </c>
      <c r="J47" s="347">
        <f t="shared" si="15"/>
        <v>876689.46356595354</v>
      </c>
      <c r="K47" s="347">
        <f t="shared" si="15"/>
        <v>876689.46356595354</v>
      </c>
      <c r="L47" s="347">
        <f t="shared" si="15"/>
        <v>876689.46356595354</v>
      </c>
      <c r="M47" s="347">
        <f t="shared" si="15"/>
        <v>876689.46356595354</v>
      </c>
      <c r="N47" s="347">
        <f t="shared" si="15"/>
        <v>876689.46356595354</v>
      </c>
      <c r="O47" s="347">
        <f t="shared" si="15"/>
        <v>876689.46356595354</v>
      </c>
      <c r="P47" s="347">
        <f t="shared" si="15"/>
        <v>876689.46356595354</v>
      </c>
      <c r="Q47" s="347">
        <f t="shared" si="15"/>
        <v>876689.46356595354</v>
      </c>
      <c r="R47" s="347">
        <f t="shared" si="15"/>
        <v>876689.46356595354</v>
      </c>
      <c r="S47" s="347">
        <f t="shared" si="15"/>
        <v>876689.46356595354</v>
      </c>
      <c r="T47" s="347">
        <f t="shared" si="15"/>
        <v>876689.46356595354</v>
      </c>
      <c r="U47" s="347">
        <f t="shared" si="15"/>
        <v>876689.46356595354</v>
      </c>
      <c r="V47" s="348"/>
    </row>
    <row r="48" spans="1:26" ht="15.75">
      <c r="A48" s="387" t="s">
        <v>347</v>
      </c>
      <c r="B48" s="387"/>
      <c r="C48" s="286"/>
      <c r="D48" s="401" t="s">
        <v>236</v>
      </c>
      <c r="G48" s="313">
        <f t="shared" ref="G48:U48" si="16">IFERROR(G47/G22,0)</f>
        <v>0.24305457335556782</v>
      </c>
      <c r="H48" s="313">
        <f t="shared" si="16"/>
        <v>0.20877029611626802</v>
      </c>
      <c r="I48" s="313">
        <f t="shared" si="16"/>
        <v>0.20877029611626802</v>
      </c>
      <c r="J48" s="313">
        <f t="shared" si="16"/>
        <v>0.20877029611626802</v>
      </c>
      <c r="K48" s="313">
        <f t="shared" si="16"/>
        <v>0.20877029611626802</v>
      </c>
      <c r="L48" s="313">
        <f t="shared" si="16"/>
        <v>0.20877029611626802</v>
      </c>
      <c r="M48" s="313">
        <f t="shared" si="16"/>
        <v>0.20877029611626802</v>
      </c>
      <c r="N48" s="313">
        <f t="shared" si="16"/>
        <v>0.20877029611626802</v>
      </c>
      <c r="O48" s="313">
        <f t="shared" si="16"/>
        <v>0.20877029611626802</v>
      </c>
      <c r="P48" s="313">
        <f t="shared" si="16"/>
        <v>0.20877029611626802</v>
      </c>
      <c r="Q48" s="313">
        <f t="shared" si="16"/>
        <v>0.20877029611626802</v>
      </c>
      <c r="R48" s="313">
        <f t="shared" si="16"/>
        <v>0.20877029611626802</v>
      </c>
      <c r="S48" s="313">
        <f t="shared" si="16"/>
        <v>0.20877029611626802</v>
      </c>
      <c r="T48" s="313">
        <f t="shared" si="16"/>
        <v>0.20877029611626802</v>
      </c>
      <c r="U48" s="313">
        <f t="shared" si="16"/>
        <v>0.20877029611626802</v>
      </c>
    </row>
    <row r="49" spans="1:26" ht="16.5" thickBot="1">
      <c r="A49" s="387"/>
      <c r="B49" s="387"/>
      <c r="C49" s="286"/>
      <c r="D49" s="401"/>
      <c r="F49" s="68"/>
    </row>
    <row r="50" spans="1:26" ht="18" customHeight="1" thickBot="1">
      <c r="A50" s="387" t="s">
        <v>348</v>
      </c>
      <c r="B50" s="387"/>
      <c r="C50" s="385" t="s">
        <v>237</v>
      </c>
      <c r="D50" s="290"/>
      <c r="E50" s="399"/>
      <c r="F50" s="346" t="str">
        <f>+F47</f>
        <v>(R$)</v>
      </c>
      <c r="G50" s="347">
        <f>G51</f>
        <v>258845.02733333333</v>
      </c>
      <c r="H50" s="347">
        <f t="shared" ref="H50:U50" si="17">H51</f>
        <v>483846.88733333338</v>
      </c>
      <c r="I50" s="347">
        <f t="shared" si="17"/>
        <v>633848.12733333337</v>
      </c>
      <c r="J50" s="347">
        <f t="shared" si="17"/>
        <v>783849.36733333336</v>
      </c>
      <c r="K50" s="347">
        <f t="shared" si="17"/>
        <v>1253457.4353333334</v>
      </c>
      <c r="L50" s="347">
        <f t="shared" si="17"/>
        <v>994612.40799999994</v>
      </c>
      <c r="M50" s="347">
        <f t="shared" si="17"/>
        <v>769610.54799999995</v>
      </c>
      <c r="N50" s="347">
        <f t="shared" si="17"/>
        <v>619609.30799999996</v>
      </c>
      <c r="O50" s="347">
        <f t="shared" si="17"/>
        <v>544608.68799999997</v>
      </c>
      <c r="P50" s="347">
        <f t="shared" si="17"/>
        <v>150001.24</v>
      </c>
      <c r="Q50" s="347">
        <f t="shared" si="17"/>
        <v>375003.1</v>
      </c>
      <c r="R50" s="347">
        <f t="shared" si="17"/>
        <v>525004.34</v>
      </c>
      <c r="S50" s="347">
        <f t="shared" si="17"/>
        <v>994612.40799999994</v>
      </c>
      <c r="T50" s="347">
        <f t="shared" si="17"/>
        <v>919611.78799999994</v>
      </c>
      <c r="U50" s="347">
        <f t="shared" si="17"/>
        <v>844611.16799999995</v>
      </c>
      <c r="V50" s="367"/>
      <c r="X50" s="508">
        <f>AVERAGE(G50,H50,I50,J50,K50,L50,M50,N50,O50,P50,Q50,R50,S50,T50,U50)</f>
        <v>676742.12271111109</v>
      </c>
      <c r="Y50" s="509">
        <f>+X50/$X$24</f>
        <v>0.1698097885953247</v>
      </c>
      <c r="Z50" s="402" t="s">
        <v>275</v>
      </c>
    </row>
    <row r="51" spans="1:26" ht="30">
      <c r="A51" s="387" t="s">
        <v>314</v>
      </c>
      <c r="B51" s="387"/>
      <c r="C51" s="286"/>
      <c r="D51" s="510" t="s">
        <v>238</v>
      </c>
      <c r="F51" s="68" t="str">
        <f>+F50</f>
        <v>(R$)</v>
      </c>
      <c r="G51" s="298">
        <f>+'8. DEPRECIAÇÃO DE FROTA'!F64</f>
        <v>258845.02733333333</v>
      </c>
      <c r="H51" s="298">
        <f>+'8. DEPRECIAÇÃO DE FROTA'!G64</f>
        <v>483846.88733333338</v>
      </c>
      <c r="I51" s="298">
        <f>+'8. DEPRECIAÇÃO DE FROTA'!H64</f>
        <v>633848.12733333337</v>
      </c>
      <c r="J51" s="298">
        <f>+'8. DEPRECIAÇÃO DE FROTA'!I64</f>
        <v>783849.36733333336</v>
      </c>
      <c r="K51" s="298">
        <f>+'8. DEPRECIAÇÃO DE FROTA'!J64</f>
        <v>1253457.4353333334</v>
      </c>
      <c r="L51" s="298">
        <f>+'8. DEPRECIAÇÃO DE FROTA'!K64</f>
        <v>994612.40799999994</v>
      </c>
      <c r="M51" s="298">
        <f>+'8. DEPRECIAÇÃO DE FROTA'!L64</f>
        <v>769610.54799999995</v>
      </c>
      <c r="N51" s="298">
        <f>+'8. DEPRECIAÇÃO DE FROTA'!M64</f>
        <v>619609.30799999996</v>
      </c>
      <c r="O51" s="298">
        <f>+'8. DEPRECIAÇÃO DE FROTA'!N64</f>
        <v>544608.68799999997</v>
      </c>
      <c r="P51" s="298">
        <f>+'8. DEPRECIAÇÃO DE FROTA'!O64</f>
        <v>150001.24</v>
      </c>
      <c r="Q51" s="298">
        <f>+'8. DEPRECIAÇÃO DE FROTA'!P64</f>
        <v>375003.1</v>
      </c>
      <c r="R51" s="298">
        <f>+'8. DEPRECIAÇÃO DE FROTA'!Q64</f>
        <v>525004.34</v>
      </c>
      <c r="S51" s="298">
        <f>+'8. DEPRECIAÇÃO DE FROTA'!R64</f>
        <v>994612.40799999994</v>
      </c>
      <c r="T51" s="298">
        <f>+'8. DEPRECIAÇÃO DE FROTA'!S64</f>
        <v>919611.78799999994</v>
      </c>
      <c r="U51" s="298">
        <f>+'8. DEPRECIAÇÃO DE FROTA'!T64</f>
        <v>844611.16799999995</v>
      </c>
    </row>
    <row r="52" spans="1:26" ht="16.5" thickBot="1">
      <c r="A52" s="387"/>
      <c r="B52" s="387"/>
      <c r="C52" s="286"/>
      <c r="D52" s="401"/>
      <c r="F52" s="68"/>
    </row>
    <row r="53" spans="1:26" ht="18" customHeight="1" thickBot="1">
      <c r="A53" s="387" t="s">
        <v>349</v>
      </c>
      <c r="B53" s="387"/>
      <c r="C53" s="385" t="s">
        <v>239</v>
      </c>
      <c r="D53" s="290"/>
      <c r="E53" s="399"/>
      <c r="F53" s="346" t="str">
        <f>+F47</f>
        <v>(R$)</v>
      </c>
      <c r="G53" s="314">
        <f>G47-G50</f>
        <v>740326.8924452865</v>
      </c>
      <c r="H53" s="314">
        <f>H47-H50</f>
        <v>392842.57623262017</v>
      </c>
      <c r="I53" s="314">
        <f>I47-I50</f>
        <v>242841.33623262017</v>
      </c>
      <c r="J53" s="314">
        <f t="shared" ref="J53:U53" si="18">J47-J50</f>
        <v>92840.096232620184</v>
      </c>
      <c r="K53" s="314">
        <f t="shared" si="18"/>
        <v>-376767.9717673799</v>
      </c>
      <c r="L53" s="314">
        <f t="shared" si="18"/>
        <v>-117922.9444340464</v>
      </c>
      <c r="M53" s="314">
        <f t="shared" si="18"/>
        <v>107078.91556595359</v>
      </c>
      <c r="N53" s="314">
        <f t="shared" si="18"/>
        <v>257080.15556595358</v>
      </c>
      <c r="O53" s="314">
        <f t="shared" si="18"/>
        <v>332080.77556595358</v>
      </c>
      <c r="P53" s="314">
        <f t="shared" si="18"/>
        <v>726688.22356595355</v>
      </c>
      <c r="Q53" s="314">
        <f t="shared" si="18"/>
        <v>501686.36356595356</v>
      </c>
      <c r="R53" s="314">
        <f t="shared" si="18"/>
        <v>351685.12356595357</v>
      </c>
      <c r="S53" s="314">
        <f t="shared" si="18"/>
        <v>-117922.9444340464</v>
      </c>
      <c r="T53" s="314">
        <f t="shared" si="18"/>
        <v>-42922.324434046401</v>
      </c>
      <c r="U53" s="314">
        <f t="shared" si="18"/>
        <v>32078.295565953595</v>
      </c>
      <c r="V53" s="367"/>
    </row>
    <row r="54" spans="1:26" ht="16.5" thickBot="1">
      <c r="A54" s="387" t="s">
        <v>315</v>
      </c>
      <c r="B54" s="387"/>
      <c r="C54" s="288"/>
      <c r="D54" s="288" t="s">
        <v>350</v>
      </c>
      <c r="E54" s="493"/>
      <c r="F54" s="368" t="str">
        <f>+F53</f>
        <v>(R$)</v>
      </c>
      <c r="G54" s="299">
        <f>IF(G53&lt;0,0,IF(F56&lt;(G53*0.3),-F56,IF(AND(F56&gt;0,G53&gt;0),-G53*0.3,0)))</f>
        <v>0</v>
      </c>
      <c r="H54" s="298">
        <f>IF(H53&lt;0,0,IF(G56&lt;(H53*0.3),-G56,IF(AND(G56&gt;0,H53&gt;0),-H53*0.3,0)))</f>
        <v>0</v>
      </c>
      <c r="I54" s="298">
        <f>IF(I53&lt;0,0,IF(H56&lt;(I53*0.3),-H56,IF(AND(H56&gt;0,I53&gt;0),-I53*0.3,0)))</f>
        <v>0</v>
      </c>
      <c r="J54" s="298">
        <f>IF(J53&lt;0,0,IF(I56&lt;(J53*0.3),-I56,IF(AND(I56&gt;0,J53&gt;0),-J53*0.3,0)))</f>
        <v>0</v>
      </c>
      <c r="K54" s="298">
        <f t="shared" ref="K54:U54" si="19">IF(K53&lt;0,0,IF(J56&lt;(K53*0.3),-J56,IF(AND(J56&gt;0,K53&gt;0),-K53*0.3,0)))</f>
        <v>0</v>
      </c>
      <c r="L54" s="298">
        <f t="shared" si="19"/>
        <v>0</v>
      </c>
      <c r="M54" s="298">
        <f t="shared" si="19"/>
        <v>-32123.674669786076</v>
      </c>
      <c r="N54" s="298">
        <f t="shared" si="19"/>
        <v>0</v>
      </c>
      <c r="O54" s="298">
        <f t="shared" si="19"/>
        <v>0</v>
      </c>
      <c r="P54" s="298">
        <f t="shared" si="19"/>
        <v>0</v>
      </c>
      <c r="Q54" s="298">
        <f t="shared" si="19"/>
        <v>0</v>
      </c>
      <c r="R54" s="298">
        <f t="shared" si="19"/>
        <v>0</v>
      </c>
      <c r="S54" s="298">
        <f t="shared" si="19"/>
        <v>0</v>
      </c>
      <c r="T54" s="298">
        <f t="shared" si="19"/>
        <v>0</v>
      </c>
      <c r="U54" s="298">
        <f t="shared" si="19"/>
        <v>-9623.4886697860784</v>
      </c>
    </row>
    <row r="55" spans="1:26" ht="18" customHeight="1" thickBot="1">
      <c r="A55" s="387" t="s">
        <v>316</v>
      </c>
      <c r="B55" s="387"/>
      <c r="C55" s="290"/>
      <c r="D55" s="290" t="s">
        <v>240</v>
      </c>
      <c r="E55" s="399"/>
      <c r="F55" s="349" t="str">
        <f>+F54</f>
        <v>(R$)</v>
      </c>
      <c r="G55" s="315">
        <f>G53+G54</f>
        <v>740326.8924452865</v>
      </c>
      <c r="H55" s="369">
        <f t="shared" ref="H55:U55" si="20">H53+H54</f>
        <v>392842.57623262017</v>
      </c>
      <c r="I55" s="369">
        <f t="shared" si="20"/>
        <v>242841.33623262017</v>
      </c>
      <c r="J55" s="369">
        <f t="shared" si="20"/>
        <v>92840.096232620184</v>
      </c>
      <c r="K55" s="369">
        <f t="shared" si="20"/>
        <v>-376767.9717673799</v>
      </c>
      <c r="L55" s="369">
        <f t="shared" si="20"/>
        <v>-117922.9444340464</v>
      </c>
      <c r="M55" s="369">
        <f t="shared" si="20"/>
        <v>74955.24089616751</v>
      </c>
      <c r="N55" s="369">
        <f t="shared" si="20"/>
        <v>257080.15556595358</v>
      </c>
      <c r="O55" s="369">
        <f t="shared" si="20"/>
        <v>332080.77556595358</v>
      </c>
      <c r="P55" s="369">
        <f t="shared" si="20"/>
        <v>726688.22356595355</v>
      </c>
      <c r="Q55" s="369">
        <f t="shared" si="20"/>
        <v>501686.36356595356</v>
      </c>
      <c r="R55" s="369">
        <f t="shared" si="20"/>
        <v>351685.12356595357</v>
      </c>
      <c r="S55" s="369">
        <f t="shared" si="20"/>
        <v>-117922.9444340464</v>
      </c>
      <c r="T55" s="369">
        <f t="shared" si="20"/>
        <v>-42922.324434046401</v>
      </c>
      <c r="U55" s="369">
        <f t="shared" si="20"/>
        <v>22454.806896167516</v>
      </c>
      <c r="V55" s="355"/>
    </row>
    <row r="56" spans="1:26" ht="15.75">
      <c r="A56" s="387" t="s">
        <v>317</v>
      </c>
      <c r="B56" s="387"/>
      <c r="C56" s="288"/>
      <c r="D56" s="288" t="s">
        <v>241</v>
      </c>
      <c r="E56" s="493"/>
      <c r="F56" s="368"/>
      <c r="G56" s="299">
        <f>IF(G55&gt;0,0,F56+G54-G55)</f>
        <v>0</v>
      </c>
      <c r="H56" s="298">
        <f>IF(H55&gt;0,0,G56+H54-H55)</f>
        <v>0</v>
      </c>
      <c r="I56" s="298">
        <f>IF(I55&gt;0,0,H56+I54-I55)</f>
        <v>0</v>
      </c>
      <c r="J56" s="298">
        <f t="shared" ref="J56:S56" si="21">IF(J55&gt;0,0,I56+J54-J55)</f>
        <v>0</v>
      </c>
      <c r="K56" s="298">
        <f t="shared" si="21"/>
        <v>376767.9717673799</v>
      </c>
      <c r="L56" s="298">
        <f t="shared" si="21"/>
        <v>494690.9162014263</v>
      </c>
      <c r="M56" s="298">
        <f t="shared" si="21"/>
        <v>0</v>
      </c>
      <c r="N56" s="298">
        <f t="shared" si="21"/>
        <v>0</v>
      </c>
      <c r="O56" s="298">
        <f t="shared" si="21"/>
        <v>0</v>
      </c>
      <c r="P56" s="298">
        <f t="shared" si="21"/>
        <v>0</v>
      </c>
      <c r="Q56" s="298">
        <f t="shared" si="21"/>
        <v>0</v>
      </c>
      <c r="R56" s="298">
        <f t="shared" si="21"/>
        <v>0</v>
      </c>
      <c r="S56" s="298">
        <f t="shared" si="21"/>
        <v>117922.9444340464</v>
      </c>
      <c r="T56" s="298">
        <f>IF(T55&gt;0,0,S56+T54-T55)</f>
        <v>160845.2688680928</v>
      </c>
      <c r="U56" s="298">
        <f>IF(U55&gt;0,0,T56+U54-U55)</f>
        <v>0</v>
      </c>
    </row>
    <row r="57" spans="1:26" ht="16.5" thickBot="1">
      <c r="A57" s="387"/>
      <c r="B57" s="387"/>
      <c r="C57" s="286"/>
      <c r="D57" s="401"/>
      <c r="F57" s="68"/>
    </row>
    <row r="58" spans="1:26" ht="18" customHeight="1" thickBot="1">
      <c r="A58" s="387" t="s">
        <v>318</v>
      </c>
      <c r="B58" s="387"/>
      <c r="C58" s="385" t="s">
        <v>242</v>
      </c>
      <c r="D58" s="398"/>
      <c r="E58" s="399"/>
      <c r="F58" s="346" t="str">
        <f>+F55</f>
        <v>(R$)</v>
      </c>
      <c r="G58" s="347">
        <f>-SUM(G59:G61)</f>
        <v>-251711.14343139739</v>
      </c>
      <c r="H58" s="347">
        <f t="shared" ref="H58:U58" si="22">-SUM(H59:H61)</f>
        <v>-133566.47591909085</v>
      </c>
      <c r="I58" s="347">
        <f t="shared" si="22"/>
        <v>-82566.054319090865</v>
      </c>
      <c r="J58" s="347">
        <f t="shared" si="22"/>
        <v>-22281.623095828843</v>
      </c>
      <c r="K58" s="347">
        <f t="shared" si="22"/>
        <v>0</v>
      </c>
      <c r="L58" s="347">
        <f t="shared" si="22"/>
        <v>0</v>
      </c>
      <c r="M58" s="347">
        <f t="shared" si="22"/>
        <v>-17989.257815080204</v>
      </c>
      <c r="N58" s="347">
        <f t="shared" si="22"/>
        <v>-87407.252892424221</v>
      </c>
      <c r="O58" s="347">
        <f t="shared" si="22"/>
        <v>-112907.46369242421</v>
      </c>
      <c r="P58" s="347">
        <f t="shared" si="22"/>
        <v>-247073.99601242424</v>
      </c>
      <c r="Q58" s="347">
        <f t="shared" si="22"/>
        <v>-170573.3636124242</v>
      </c>
      <c r="R58" s="347">
        <f t="shared" si="22"/>
        <v>-119572.9420124242</v>
      </c>
      <c r="S58" s="347">
        <f t="shared" si="22"/>
        <v>0</v>
      </c>
      <c r="T58" s="347">
        <f t="shared" si="22"/>
        <v>0</v>
      </c>
      <c r="U58" s="347">
        <f t="shared" si="22"/>
        <v>-5389.1536550802039</v>
      </c>
      <c r="V58" s="348"/>
    </row>
    <row r="59" spans="1:26" ht="15.75">
      <c r="A59" s="387" t="s">
        <v>319</v>
      </c>
      <c r="B59" s="387"/>
      <c r="C59" s="286"/>
      <c r="D59" s="400" t="s">
        <v>243</v>
      </c>
      <c r="E59" s="2"/>
      <c r="F59" s="370">
        <f>+'10. TRIBUTAÇÃO E IMPOSTOS'!F22</f>
        <v>0.09</v>
      </c>
      <c r="G59" s="371">
        <f>IF(G$55&gt;0,$F59*G$55,0)</f>
        <v>66629.420320075777</v>
      </c>
      <c r="H59" s="371">
        <f t="shared" ref="H59:U60" si="23">IF(H$55&gt;0,$F59*H$55,0)</f>
        <v>35355.83186093581</v>
      </c>
      <c r="I59" s="371">
        <f t="shared" si="23"/>
        <v>21855.720260935814</v>
      </c>
      <c r="J59" s="371">
        <f t="shared" si="23"/>
        <v>8355.6086609358172</v>
      </c>
      <c r="K59" s="371">
        <f t="shared" si="23"/>
        <v>0</v>
      </c>
      <c r="L59" s="371">
        <f t="shared" si="23"/>
        <v>0</v>
      </c>
      <c r="M59" s="371">
        <f t="shared" si="23"/>
        <v>6745.9716806550759</v>
      </c>
      <c r="N59" s="371">
        <f t="shared" si="23"/>
        <v>23137.214000935823</v>
      </c>
      <c r="O59" s="371">
        <f t="shared" si="23"/>
        <v>29887.269800935821</v>
      </c>
      <c r="P59" s="371">
        <f t="shared" si="23"/>
        <v>65401.940120935818</v>
      </c>
      <c r="Q59" s="371">
        <f t="shared" si="23"/>
        <v>45151.77272093582</v>
      </c>
      <c r="R59" s="371">
        <f t="shared" si="23"/>
        <v>31651.66112093582</v>
      </c>
      <c r="S59" s="371">
        <f t="shared" si="23"/>
        <v>0</v>
      </c>
      <c r="T59" s="371">
        <f t="shared" si="23"/>
        <v>0</v>
      </c>
      <c r="U59" s="371">
        <f t="shared" si="23"/>
        <v>2020.9326206550763</v>
      </c>
    </row>
    <row r="60" spans="1:26" ht="15.75">
      <c r="A60" s="387" t="s">
        <v>320</v>
      </c>
      <c r="B60" s="387"/>
      <c r="C60" s="286"/>
      <c r="D60" s="400" t="s">
        <v>244</v>
      </c>
      <c r="E60" s="2"/>
      <c r="F60" s="370">
        <f>+'10. TRIBUTAÇÃO E IMPOSTOS'!F23</f>
        <v>0.15</v>
      </c>
      <c r="G60" s="372">
        <f>IF(G$55&gt;0,$F60*G$55,0)</f>
        <v>111049.03386679298</v>
      </c>
      <c r="H60" s="372">
        <f t="shared" si="23"/>
        <v>58926.386434893022</v>
      </c>
      <c r="I60" s="372">
        <f t="shared" si="23"/>
        <v>36426.200434893028</v>
      </c>
      <c r="J60" s="372">
        <f t="shared" si="23"/>
        <v>13926.014434893028</v>
      </c>
      <c r="K60" s="372">
        <f t="shared" si="23"/>
        <v>0</v>
      </c>
      <c r="L60" s="372">
        <f t="shared" si="23"/>
        <v>0</v>
      </c>
      <c r="M60" s="372">
        <f t="shared" si="23"/>
        <v>11243.286134425127</v>
      </c>
      <c r="N60" s="372">
        <f t="shared" si="23"/>
        <v>38562.023334893034</v>
      </c>
      <c r="O60" s="372">
        <f t="shared" si="23"/>
        <v>49812.116334893035</v>
      </c>
      <c r="P60" s="372">
        <f t="shared" si="23"/>
        <v>109003.23353489304</v>
      </c>
      <c r="Q60" s="372">
        <f t="shared" si="23"/>
        <v>75252.954534893026</v>
      </c>
      <c r="R60" s="372">
        <f t="shared" si="23"/>
        <v>52752.768534893032</v>
      </c>
      <c r="S60" s="372">
        <f t="shared" si="23"/>
        <v>0</v>
      </c>
      <c r="T60" s="372">
        <f t="shared" si="23"/>
        <v>0</v>
      </c>
      <c r="U60" s="372">
        <f t="shared" si="23"/>
        <v>3368.2210344251275</v>
      </c>
    </row>
    <row r="61" spans="1:26" ht="15.75">
      <c r="A61" s="387" t="s">
        <v>321</v>
      </c>
      <c r="B61" s="387"/>
      <c r="C61" s="286"/>
      <c r="D61" s="400" t="s">
        <v>245</v>
      </c>
      <c r="E61" s="2"/>
      <c r="F61" s="370">
        <f>+'10. TRIBUTAÇÃO E IMPOSTOS'!F24</f>
        <v>0.1</v>
      </c>
      <c r="G61" s="372">
        <f>IF(G$55&gt;240000,$F61*G$55,0)</f>
        <v>74032.68924452865</v>
      </c>
      <c r="H61" s="372">
        <f t="shared" ref="H61:U61" si="24">IF(H$55&gt;240000,$F61*H$55,0)</f>
        <v>39284.257623262019</v>
      </c>
      <c r="I61" s="372">
        <f t="shared" si="24"/>
        <v>24284.13362326202</v>
      </c>
      <c r="J61" s="372">
        <f t="shared" si="24"/>
        <v>0</v>
      </c>
      <c r="K61" s="372">
        <f t="shared" si="24"/>
        <v>0</v>
      </c>
      <c r="L61" s="372">
        <f t="shared" si="24"/>
        <v>0</v>
      </c>
      <c r="M61" s="372">
        <f t="shared" si="24"/>
        <v>0</v>
      </c>
      <c r="N61" s="372">
        <f t="shared" si="24"/>
        <v>25708.015556595361</v>
      </c>
      <c r="O61" s="372">
        <f t="shared" si="24"/>
        <v>33208.077556595359</v>
      </c>
      <c r="P61" s="372">
        <f t="shared" si="24"/>
        <v>72668.822356595352</v>
      </c>
      <c r="Q61" s="372">
        <f t="shared" si="24"/>
        <v>50168.636356595358</v>
      </c>
      <c r="R61" s="372">
        <f t="shared" si="24"/>
        <v>35168.512356595362</v>
      </c>
      <c r="S61" s="372">
        <f t="shared" si="24"/>
        <v>0</v>
      </c>
      <c r="T61" s="372">
        <f t="shared" si="24"/>
        <v>0</v>
      </c>
      <c r="U61" s="372">
        <f t="shared" si="24"/>
        <v>0</v>
      </c>
    </row>
    <row r="62" spans="1:26" ht="16.5" thickBot="1">
      <c r="A62" s="387"/>
      <c r="B62" s="387"/>
      <c r="C62" s="286"/>
      <c r="D62" s="401"/>
    </row>
    <row r="63" spans="1:26" ht="18" customHeight="1" thickBot="1">
      <c r="A63" s="381" t="s">
        <v>322</v>
      </c>
      <c r="B63" s="381"/>
      <c r="C63" s="290" t="s">
        <v>246</v>
      </c>
      <c r="D63" s="290"/>
      <c r="E63" s="399"/>
      <c r="F63" s="355"/>
      <c r="G63" s="302">
        <f t="shared" ref="G63:V63" si="25">G53+G58</f>
        <v>488615.74901388912</v>
      </c>
      <c r="H63" s="302">
        <f t="shared" si="25"/>
        <v>259276.10031352931</v>
      </c>
      <c r="I63" s="302">
        <f t="shared" si="25"/>
        <v>160275.28191352932</v>
      </c>
      <c r="J63" s="302">
        <f t="shared" si="25"/>
        <v>70558.473136791348</v>
      </c>
      <c r="K63" s="302">
        <f t="shared" si="25"/>
        <v>-376767.9717673799</v>
      </c>
      <c r="L63" s="302">
        <f t="shared" si="25"/>
        <v>-117922.9444340464</v>
      </c>
      <c r="M63" s="302">
        <f t="shared" si="25"/>
        <v>89089.65775087339</v>
      </c>
      <c r="N63" s="302">
        <f t="shared" si="25"/>
        <v>169672.90267352934</v>
      </c>
      <c r="O63" s="302">
        <f t="shared" si="25"/>
        <v>219173.31187352937</v>
      </c>
      <c r="P63" s="302">
        <f t="shared" si="25"/>
        <v>479614.22755352932</v>
      </c>
      <c r="Q63" s="302">
        <f t="shared" si="25"/>
        <v>331112.99995352933</v>
      </c>
      <c r="R63" s="302">
        <f t="shared" si="25"/>
        <v>232112.18155352937</v>
      </c>
      <c r="S63" s="302">
        <f t="shared" si="25"/>
        <v>-117922.9444340464</v>
      </c>
      <c r="T63" s="302">
        <f t="shared" si="25"/>
        <v>-42922.324434046401</v>
      </c>
      <c r="U63" s="302">
        <f t="shared" si="25"/>
        <v>26689.14191087339</v>
      </c>
      <c r="V63" s="311">
        <f t="shared" si="25"/>
        <v>0</v>
      </c>
    </row>
    <row r="64" spans="1:26" ht="16.5" thickBot="1">
      <c r="A64" s="387"/>
      <c r="B64" s="387"/>
      <c r="C64" s="287"/>
      <c r="D64" s="403"/>
    </row>
    <row r="65" spans="1:24" ht="24.95" customHeight="1" thickBot="1">
      <c r="A65" s="387"/>
      <c r="B65" s="387"/>
      <c r="C65" s="601" t="s">
        <v>247</v>
      </c>
      <c r="D65" s="601"/>
      <c r="E65" s="602"/>
      <c r="F65" s="599">
        <v>0</v>
      </c>
      <c r="G65" s="599">
        <v>1</v>
      </c>
      <c r="H65" s="599">
        <f t="shared" ref="H65:U65" si="26">+G65+1</f>
        <v>2</v>
      </c>
      <c r="I65" s="599">
        <f t="shared" si="26"/>
        <v>3</v>
      </c>
      <c r="J65" s="599">
        <f t="shared" si="26"/>
        <v>4</v>
      </c>
      <c r="K65" s="599">
        <f t="shared" si="26"/>
        <v>5</v>
      </c>
      <c r="L65" s="599">
        <f t="shared" si="26"/>
        <v>6</v>
      </c>
      <c r="M65" s="599">
        <f t="shared" si="26"/>
        <v>7</v>
      </c>
      <c r="N65" s="599">
        <f t="shared" si="26"/>
        <v>8</v>
      </c>
      <c r="O65" s="599">
        <f t="shared" si="26"/>
        <v>9</v>
      </c>
      <c r="P65" s="599">
        <f t="shared" si="26"/>
        <v>10</v>
      </c>
      <c r="Q65" s="599">
        <f t="shared" si="26"/>
        <v>11</v>
      </c>
      <c r="R65" s="599">
        <f t="shared" si="26"/>
        <v>12</v>
      </c>
      <c r="S65" s="599">
        <f t="shared" si="26"/>
        <v>13</v>
      </c>
      <c r="T65" s="599">
        <f t="shared" si="26"/>
        <v>14</v>
      </c>
      <c r="U65" s="599">
        <f t="shared" si="26"/>
        <v>15</v>
      </c>
      <c r="V65" s="600" t="s">
        <v>222</v>
      </c>
    </row>
    <row r="66" spans="1:24" ht="5.0999999999999996" customHeight="1" thickBot="1">
      <c r="A66" s="387"/>
      <c r="B66" s="387"/>
      <c r="C66" s="286"/>
      <c r="D66" s="401"/>
    </row>
    <row r="67" spans="1:24" ht="18" customHeight="1" thickBot="1">
      <c r="A67" s="387" t="s">
        <v>323</v>
      </c>
      <c r="B67" s="387"/>
      <c r="C67" s="290" t="s">
        <v>353</v>
      </c>
      <c r="D67" s="398"/>
      <c r="E67" s="399"/>
      <c r="F67" s="346" t="str">
        <f>+F58</f>
        <v>(R$)</v>
      </c>
      <c r="G67" s="347">
        <f>G63</f>
        <v>488615.74901388912</v>
      </c>
      <c r="H67" s="347">
        <f t="shared" ref="H67:U67" si="27">H63</f>
        <v>259276.10031352931</v>
      </c>
      <c r="I67" s="347">
        <f t="shared" si="27"/>
        <v>160275.28191352932</v>
      </c>
      <c r="J67" s="347">
        <f t="shared" si="27"/>
        <v>70558.473136791348</v>
      </c>
      <c r="K67" s="347">
        <f t="shared" si="27"/>
        <v>-376767.9717673799</v>
      </c>
      <c r="L67" s="347">
        <f t="shared" si="27"/>
        <v>-117922.9444340464</v>
      </c>
      <c r="M67" s="347">
        <f t="shared" si="27"/>
        <v>89089.65775087339</v>
      </c>
      <c r="N67" s="347">
        <f t="shared" si="27"/>
        <v>169672.90267352934</v>
      </c>
      <c r="O67" s="347">
        <f t="shared" si="27"/>
        <v>219173.31187352937</v>
      </c>
      <c r="P67" s="347">
        <f t="shared" si="27"/>
        <v>479614.22755352932</v>
      </c>
      <c r="Q67" s="347">
        <f t="shared" si="27"/>
        <v>331112.99995352933</v>
      </c>
      <c r="R67" s="347">
        <f t="shared" si="27"/>
        <v>232112.18155352937</v>
      </c>
      <c r="S67" s="347">
        <f t="shared" si="27"/>
        <v>-117922.9444340464</v>
      </c>
      <c r="T67" s="347">
        <f t="shared" si="27"/>
        <v>-42922.324434046401</v>
      </c>
      <c r="U67" s="347">
        <f t="shared" si="27"/>
        <v>26689.14191087339</v>
      </c>
      <c r="V67" s="348"/>
    </row>
    <row r="68" spans="1:24" ht="5.0999999999999996" customHeight="1" thickBot="1">
      <c r="A68" s="387"/>
      <c r="B68" s="387"/>
      <c r="C68" s="286"/>
      <c r="D68" s="401"/>
      <c r="F68" s="68"/>
      <c r="G68" s="373"/>
      <c r="H68" s="373"/>
      <c r="I68" s="373"/>
      <c r="J68" s="373"/>
      <c r="K68" s="373"/>
      <c r="L68" s="373"/>
      <c r="M68" s="373"/>
      <c r="N68" s="373"/>
      <c r="O68" s="373"/>
      <c r="P68" s="373"/>
      <c r="Q68" s="373"/>
      <c r="R68" s="373"/>
      <c r="S68" s="373"/>
      <c r="T68" s="373"/>
      <c r="U68" s="373"/>
    </row>
    <row r="69" spans="1:24" ht="18" customHeight="1" thickBot="1">
      <c r="A69" s="387"/>
      <c r="B69" s="387"/>
      <c r="C69" s="385" t="s">
        <v>354</v>
      </c>
      <c r="D69" s="398"/>
      <c r="E69" s="399"/>
      <c r="F69" s="374" t="str">
        <f>+F67</f>
        <v>(R$)</v>
      </c>
      <c r="G69" s="347">
        <f>G70</f>
        <v>258845.02733333333</v>
      </c>
      <c r="H69" s="347">
        <f t="shared" ref="H69:U69" si="28">H70</f>
        <v>483846.88733333338</v>
      </c>
      <c r="I69" s="347">
        <f t="shared" si="28"/>
        <v>633848.12733333337</v>
      </c>
      <c r="J69" s="347">
        <f t="shared" si="28"/>
        <v>783849.36733333336</v>
      </c>
      <c r="K69" s="347">
        <f t="shared" si="28"/>
        <v>1253457.4353333334</v>
      </c>
      <c r="L69" s="347">
        <f t="shared" si="28"/>
        <v>994612.40799999994</v>
      </c>
      <c r="M69" s="347">
        <f t="shared" si="28"/>
        <v>769610.54799999995</v>
      </c>
      <c r="N69" s="347">
        <f t="shared" si="28"/>
        <v>619609.30799999996</v>
      </c>
      <c r="O69" s="347">
        <f t="shared" si="28"/>
        <v>544608.68799999997</v>
      </c>
      <c r="P69" s="347">
        <f t="shared" si="28"/>
        <v>150001.24</v>
      </c>
      <c r="Q69" s="347">
        <f t="shared" si="28"/>
        <v>375003.1</v>
      </c>
      <c r="R69" s="347">
        <f t="shared" si="28"/>
        <v>525004.34</v>
      </c>
      <c r="S69" s="347">
        <f t="shared" si="28"/>
        <v>994612.40799999994</v>
      </c>
      <c r="T69" s="347">
        <f t="shared" si="28"/>
        <v>919611.78799999994</v>
      </c>
      <c r="U69" s="347">
        <f t="shared" si="28"/>
        <v>844611.16799999995</v>
      </c>
      <c r="V69" s="375"/>
    </row>
    <row r="70" spans="1:24" ht="15.75">
      <c r="A70" s="387" t="s">
        <v>324</v>
      </c>
      <c r="B70" s="387"/>
      <c r="C70" s="301"/>
      <c r="D70" s="404" t="s">
        <v>302</v>
      </c>
      <c r="E70" s="405"/>
      <c r="F70" s="72" t="str">
        <f>+F69</f>
        <v>(R$)</v>
      </c>
      <c r="G70" s="372">
        <f>+G51</f>
        <v>258845.02733333333</v>
      </c>
      <c r="H70" s="372">
        <f t="shared" ref="H70:U70" si="29">+H51</f>
        <v>483846.88733333338</v>
      </c>
      <c r="I70" s="372">
        <f t="shared" si="29"/>
        <v>633848.12733333337</v>
      </c>
      <c r="J70" s="372">
        <f t="shared" si="29"/>
        <v>783849.36733333336</v>
      </c>
      <c r="K70" s="372">
        <f t="shared" si="29"/>
        <v>1253457.4353333334</v>
      </c>
      <c r="L70" s="372">
        <f t="shared" si="29"/>
        <v>994612.40799999994</v>
      </c>
      <c r="M70" s="372">
        <f t="shared" si="29"/>
        <v>769610.54799999995</v>
      </c>
      <c r="N70" s="372">
        <f t="shared" si="29"/>
        <v>619609.30799999996</v>
      </c>
      <c r="O70" s="372">
        <f t="shared" si="29"/>
        <v>544608.68799999997</v>
      </c>
      <c r="P70" s="372">
        <f t="shared" si="29"/>
        <v>150001.24</v>
      </c>
      <c r="Q70" s="372">
        <f t="shared" si="29"/>
        <v>375003.1</v>
      </c>
      <c r="R70" s="372">
        <f t="shared" si="29"/>
        <v>525004.34</v>
      </c>
      <c r="S70" s="372">
        <f t="shared" si="29"/>
        <v>994612.40799999994</v>
      </c>
      <c r="T70" s="372">
        <f t="shared" si="29"/>
        <v>919611.78799999994</v>
      </c>
      <c r="U70" s="372">
        <f t="shared" si="29"/>
        <v>844611.16799999995</v>
      </c>
      <c r="V70" s="1"/>
    </row>
    <row r="71" spans="1:24" ht="16.5" thickBot="1">
      <c r="A71" s="387"/>
      <c r="B71" s="387"/>
      <c r="C71" s="301"/>
      <c r="D71" s="404"/>
      <c r="E71" s="405"/>
      <c r="F71" s="72"/>
      <c r="G71" s="372"/>
      <c r="H71" s="372"/>
      <c r="I71" s="372"/>
      <c r="J71" s="372"/>
      <c r="K71" s="372"/>
      <c r="L71" s="372"/>
      <c r="M71" s="372"/>
      <c r="N71" s="372"/>
      <c r="O71" s="372"/>
      <c r="P71" s="372"/>
      <c r="Q71" s="372"/>
      <c r="R71" s="372"/>
      <c r="S71" s="372"/>
      <c r="T71" s="372"/>
      <c r="U71" s="372"/>
      <c r="V71" s="1"/>
    </row>
    <row r="72" spans="1:24" ht="18" customHeight="1" thickBot="1">
      <c r="A72" s="387" t="s">
        <v>325</v>
      </c>
      <c r="B72" s="387"/>
      <c r="C72" s="385" t="s">
        <v>358</v>
      </c>
      <c r="D72" s="398"/>
      <c r="E72" s="376" t="s">
        <v>301</v>
      </c>
      <c r="F72" s="374"/>
      <c r="G72" s="347">
        <f>G67+G69</f>
        <v>747460.77634722251</v>
      </c>
      <c r="H72" s="347">
        <f t="shared" ref="H72:U72" si="30">H67+H69</f>
        <v>743122.98764686263</v>
      </c>
      <c r="I72" s="347">
        <f t="shared" si="30"/>
        <v>794123.40924686263</v>
      </c>
      <c r="J72" s="347">
        <f t="shared" si="30"/>
        <v>854407.84047012473</v>
      </c>
      <c r="K72" s="347">
        <f t="shared" si="30"/>
        <v>876689.46356595354</v>
      </c>
      <c r="L72" s="347">
        <f t="shared" si="30"/>
        <v>876689.46356595354</v>
      </c>
      <c r="M72" s="347">
        <f t="shared" si="30"/>
        <v>858700.20575087331</v>
      </c>
      <c r="N72" s="347">
        <f t="shared" si="30"/>
        <v>789282.21067352931</v>
      </c>
      <c r="O72" s="347">
        <f t="shared" si="30"/>
        <v>763781.9998735293</v>
      </c>
      <c r="P72" s="347">
        <f t="shared" si="30"/>
        <v>629615.46755352931</v>
      </c>
      <c r="Q72" s="347">
        <f t="shared" si="30"/>
        <v>706116.09995352931</v>
      </c>
      <c r="R72" s="347">
        <f t="shared" si="30"/>
        <v>757116.52155352931</v>
      </c>
      <c r="S72" s="347">
        <f t="shared" si="30"/>
        <v>876689.46356595354</v>
      </c>
      <c r="T72" s="347">
        <f t="shared" si="30"/>
        <v>876689.46356595354</v>
      </c>
      <c r="U72" s="347">
        <f t="shared" si="30"/>
        <v>871300.3099108733</v>
      </c>
      <c r="V72" s="375"/>
    </row>
    <row r="73" spans="1:24" ht="16.5" thickBot="1">
      <c r="A73" s="387"/>
      <c r="B73" s="387"/>
      <c r="C73" s="301"/>
      <c r="D73" s="404"/>
      <c r="E73" s="405"/>
      <c r="F73" s="72"/>
      <c r="G73" s="372"/>
      <c r="H73" s="372"/>
      <c r="I73" s="372"/>
      <c r="J73" s="372"/>
      <c r="K73" s="372"/>
      <c r="L73" s="372"/>
      <c r="M73" s="372"/>
      <c r="N73" s="372"/>
      <c r="O73" s="372"/>
      <c r="P73" s="372"/>
      <c r="Q73" s="372"/>
      <c r="R73" s="372"/>
      <c r="S73" s="372"/>
      <c r="T73" s="372"/>
      <c r="U73" s="372"/>
      <c r="V73" s="1"/>
    </row>
    <row r="74" spans="1:24" ht="18" customHeight="1" thickBot="1">
      <c r="A74" s="387" t="s">
        <v>326</v>
      </c>
      <c r="B74" s="387"/>
      <c r="C74" s="385" t="s">
        <v>355</v>
      </c>
      <c r="D74" s="398"/>
      <c r="E74" s="399"/>
      <c r="F74" s="377">
        <f t="shared" ref="F74:V74" si="31">SUM(F75:F77)</f>
        <v>-1330500</v>
      </c>
      <c r="G74" s="347">
        <f t="shared" si="31"/>
        <v>0</v>
      </c>
      <c r="H74" s="347">
        <f t="shared" si="31"/>
        <v>-1164000</v>
      </c>
      <c r="I74" s="347">
        <f t="shared" si="31"/>
        <v>-776000</v>
      </c>
      <c r="J74" s="347">
        <f t="shared" si="31"/>
        <v>-776000</v>
      </c>
      <c r="K74" s="347">
        <f t="shared" si="31"/>
        <v>-2400000</v>
      </c>
      <c r="L74" s="347">
        <f t="shared" si="31"/>
        <v>0</v>
      </c>
      <c r="M74" s="347">
        <f t="shared" si="31"/>
        <v>0</v>
      </c>
      <c r="N74" s="347">
        <f t="shared" si="31"/>
        <v>0</v>
      </c>
      <c r="O74" s="347">
        <f t="shared" si="31"/>
        <v>-388000</v>
      </c>
      <c r="P74" s="347">
        <f t="shared" si="31"/>
        <v>-388000</v>
      </c>
      <c r="Q74" s="347">
        <f t="shared" si="31"/>
        <v>-1164000</v>
      </c>
      <c r="R74" s="347">
        <f t="shared" si="31"/>
        <v>-776000</v>
      </c>
      <c r="S74" s="347">
        <f t="shared" si="31"/>
        <v>-2400000</v>
      </c>
      <c r="T74" s="347">
        <f t="shared" si="31"/>
        <v>0</v>
      </c>
      <c r="U74" s="347">
        <f t="shared" si="31"/>
        <v>0</v>
      </c>
      <c r="V74" s="378">
        <f t="shared" si="31"/>
        <v>0</v>
      </c>
      <c r="X74" s="508"/>
    </row>
    <row r="75" spans="1:24" ht="15.75">
      <c r="A75" s="388" t="s">
        <v>327</v>
      </c>
      <c r="B75" s="388"/>
      <c r="C75" s="288"/>
      <c r="D75" s="505" t="s">
        <v>248</v>
      </c>
      <c r="E75" s="493"/>
      <c r="F75" s="372">
        <f>-SUM('7. INVESTIMENTO FROTA'!E198,'7. INVESTIMENTO FROTA'!E228,'7. INVESTIMENTO FROTA'!E258)</f>
        <v>-1330500</v>
      </c>
      <c r="G75" s="372"/>
      <c r="H75" s="372"/>
      <c r="I75" s="372"/>
      <c r="J75" s="372"/>
      <c r="K75" s="372"/>
      <c r="L75" s="372"/>
      <c r="M75" s="372"/>
      <c r="N75" s="372"/>
      <c r="O75" s="372"/>
      <c r="P75" s="372"/>
      <c r="Q75" s="372"/>
      <c r="R75" s="372"/>
      <c r="S75" s="372"/>
      <c r="T75" s="372"/>
      <c r="U75" s="372"/>
    </row>
    <row r="76" spans="1:24" ht="15.75">
      <c r="A76" s="388" t="s">
        <v>328</v>
      </c>
      <c r="B76" s="388"/>
      <c r="C76" s="286"/>
      <c r="D76" s="401" t="s">
        <v>249</v>
      </c>
      <c r="F76" s="108"/>
      <c r="G76" s="372">
        <f>-SUM('7. INVESTIMENTO FROTA'!F198,'7. INVESTIMENTO FROTA'!F228,'7. INVESTIMENTO FROTA'!F258)</f>
        <v>0</v>
      </c>
      <c r="H76" s="372">
        <f>-SUM('7. INVESTIMENTO FROTA'!G198,'7. INVESTIMENTO FROTA'!G228,'7. INVESTIMENTO FROTA'!G258)</f>
        <v>-1164000</v>
      </c>
      <c r="I76" s="372">
        <f>-SUM('7. INVESTIMENTO FROTA'!H198,'7. INVESTIMENTO FROTA'!H228,'7. INVESTIMENTO FROTA'!H258)</f>
        <v>-776000</v>
      </c>
      <c r="J76" s="372">
        <f>-SUM('7. INVESTIMENTO FROTA'!I198,'7. INVESTIMENTO FROTA'!I228,'7. INVESTIMENTO FROTA'!I258)</f>
        <v>-776000</v>
      </c>
      <c r="K76" s="372">
        <f>-SUM('7. INVESTIMENTO FROTA'!J198,'7. INVESTIMENTO FROTA'!J228,'7. INVESTIMENTO FROTA'!J258)</f>
        <v>-2400000</v>
      </c>
      <c r="L76" s="372">
        <f>-SUM('7. INVESTIMENTO FROTA'!K198,'7. INVESTIMENTO FROTA'!K228,'7. INVESTIMENTO FROTA'!K258)</f>
        <v>0</v>
      </c>
      <c r="M76" s="372">
        <f>-SUM('7. INVESTIMENTO FROTA'!L198,'7. INVESTIMENTO FROTA'!L228,'7. INVESTIMENTO FROTA'!L258)</f>
        <v>0</v>
      </c>
      <c r="N76" s="372">
        <f>-SUM('7. INVESTIMENTO FROTA'!M198,'7. INVESTIMENTO FROTA'!M228,'7. INVESTIMENTO FROTA'!M258)</f>
        <v>0</v>
      </c>
      <c r="O76" s="372">
        <f>-SUM('7. INVESTIMENTO FROTA'!N198,'7. INVESTIMENTO FROTA'!N228,'7. INVESTIMENTO FROTA'!N258)</f>
        <v>-388000</v>
      </c>
      <c r="P76" s="372">
        <f>-SUM('7. INVESTIMENTO FROTA'!O198,'7. INVESTIMENTO FROTA'!O228,'7. INVESTIMENTO FROTA'!O258)</f>
        <v>-388000</v>
      </c>
      <c r="Q76" s="372">
        <f>-SUM('7. INVESTIMENTO FROTA'!P198,'7. INVESTIMENTO FROTA'!P228,'7. INVESTIMENTO FROTA'!P258)</f>
        <v>-1164000</v>
      </c>
      <c r="R76" s="372">
        <f>-SUM('7. INVESTIMENTO FROTA'!Q198,'7. INVESTIMENTO FROTA'!Q228,'7. INVESTIMENTO FROTA'!Q258)</f>
        <v>-776000</v>
      </c>
      <c r="S76" s="372">
        <f>-SUM('7. INVESTIMENTO FROTA'!R198,'7. INVESTIMENTO FROTA'!R228,'7. INVESTIMENTO FROTA'!R258)</f>
        <v>-2400000</v>
      </c>
      <c r="T76" s="372">
        <f>-SUM('7. INVESTIMENTO FROTA'!S198,'7. INVESTIMENTO FROTA'!S228,'7. INVESTIMENTO FROTA'!S258)</f>
        <v>0</v>
      </c>
      <c r="U76" s="372">
        <f>-SUM('7. INVESTIMENTO FROTA'!T198,'7. INVESTIMENTO FROTA'!T228,'7. INVESTIMENTO FROTA'!T258)</f>
        <v>0</v>
      </c>
    </row>
    <row r="77" spans="1:24" ht="15.75">
      <c r="A77" s="388" t="s">
        <v>329</v>
      </c>
      <c r="B77" s="388"/>
      <c r="C77" s="286"/>
      <c r="D77" s="401" t="s">
        <v>250</v>
      </c>
      <c r="F77" s="108"/>
      <c r="G77" s="108"/>
      <c r="H77" s="108"/>
      <c r="I77" s="108"/>
      <c r="J77" s="108"/>
      <c r="K77" s="108"/>
      <c r="L77" s="108"/>
      <c r="M77" s="108"/>
      <c r="N77" s="108"/>
      <c r="O77" s="108"/>
      <c r="P77" s="108"/>
      <c r="Q77" s="108"/>
      <c r="R77" s="108"/>
      <c r="S77" s="108"/>
      <c r="T77" s="108"/>
      <c r="U77" s="108"/>
    </row>
    <row r="78" spans="1:24" ht="1.5" customHeight="1" thickBot="1">
      <c r="A78" s="387"/>
      <c r="B78" s="387"/>
      <c r="C78" s="286"/>
      <c r="D78" s="401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8"/>
      <c r="S78" s="108"/>
      <c r="T78" s="108"/>
      <c r="U78" s="108"/>
    </row>
    <row r="79" spans="1:24" ht="18" customHeight="1" thickBot="1">
      <c r="A79" s="387" t="s">
        <v>331</v>
      </c>
      <c r="B79" s="387"/>
      <c r="C79" s="385" t="s">
        <v>356</v>
      </c>
      <c r="D79" s="398"/>
      <c r="E79" s="399"/>
      <c r="F79" s="379"/>
      <c r="G79" s="302">
        <f>+G80-G81</f>
        <v>0</v>
      </c>
      <c r="H79" s="302">
        <f>+H80-H81</f>
        <v>173145</v>
      </c>
      <c r="I79" s="302">
        <f t="shared" ref="I79:V79" si="32">+I80-I81</f>
        <v>82450</v>
      </c>
      <c r="J79" s="302">
        <f t="shared" si="32"/>
        <v>65960</v>
      </c>
      <c r="K79" s="302">
        <f t="shared" si="32"/>
        <v>0</v>
      </c>
      <c r="L79" s="302">
        <f t="shared" si="32"/>
        <v>0</v>
      </c>
      <c r="M79" s="302">
        <f t="shared" si="32"/>
        <v>0</v>
      </c>
      <c r="N79" s="302">
        <f t="shared" si="32"/>
        <v>0</v>
      </c>
      <c r="O79" s="302">
        <f t="shared" si="32"/>
        <v>41225</v>
      </c>
      <c r="P79" s="302">
        <f t="shared" si="32"/>
        <v>32980</v>
      </c>
      <c r="Q79" s="302">
        <f t="shared" si="32"/>
        <v>65960</v>
      </c>
      <c r="R79" s="302">
        <f t="shared" si="32"/>
        <v>65960</v>
      </c>
      <c r="S79" s="302">
        <f t="shared" si="32"/>
        <v>226350</v>
      </c>
      <c r="T79" s="302">
        <f t="shared" si="32"/>
        <v>0</v>
      </c>
      <c r="U79" s="302">
        <f t="shared" si="32"/>
        <v>0</v>
      </c>
      <c r="V79" s="311">
        <f t="shared" si="32"/>
        <v>1391287.5</v>
      </c>
    </row>
    <row r="80" spans="1:24" ht="15.75">
      <c r="A80" s="388" t="s">
        <v>330</v>
      </c>
      <c r="B80" s="388"/>
      <c r="C80" s="286"/>
      <c r="D80" s="401" t="s">
        <v>251</v>
      </c>
      <c r="F80" s="372"/>
      <c r="G80" s="372">
        <f>SUM('7. INVESTIMENTO FROTA'!F291,'7. INVESTIMENTO FROTA'!F306,'7. INVESTIMENTO FROTA'!F321)</f>
        <v>0</v>
      </c>
      <c r="H80" s="372">
        <f>SUM('7. INVESTIMENTO FROTA'!G291,'7. INVESTIMENTO FROTA'!G306,'7. INVESTIMENTO FROTA'!G321)</f>
        <v>203700</v>
      </c>
      <c r="I80" s="372">
        <f>SUM('7. INVESTIMENTO FROTA'!H291,'7. INVESTIMENTO FROTA'!H306,'7. INVESTIMENTO FROTA'!H321)</f>
        <v>97000</v>
      </c>
      <c r="J80" s="372">
        <f>SUM('7. INVESTIMENTO FROTA'!I291,'7. INVESTIMENTO FROTA'!I306,'7. INVESTIMENTO FROTA'!I321)</f>
        <v>77600</v>
      </c>
      <c r="K80" s="372">
        <f>SUM('7. INVESTIMENTO FROTA'!J291,'7. INVESTIMENTO FROTA'!J306,'7. INVESTIMENTO FROTA'!J321)</f>
        <v>0</v>
      </c>
      <c r="L80" s="372">
        <f>SUM('7. INVESTIMENTO FROTA'!K291,'7. INVESTIMENTO FROTA'!K306,'7. INVESTIMENTO FROTA'!K321)</f>
        <v>0</v>
      </c>
      <c r="M80" s="372">
        <f>SUM('7. INVESTIMENTO FROTA'!L291,'7. INVESTIMENTO FROTA'!L306,'7. INVESTIMENTO FROTA'!L321)</f>
        <v>0</v>
      </c>
      <c r="N80" s="372">
        <f>SUM('7. INVESTIMENTO FROTA'!M291,'7. INVESTIMENTO FROTA'!M306,'7. INVESTIMENTO FROTA'!M321)</f>
        <v>0</v>
      </c>
      <c r="O80" s="372">
        <f>SUM('7. INVESTIMENTO FROTA'!N291,'7. INVESTIMENTO FROTA'!N306,'7. INVESTIMENTO FROTA'!N321)</f>
        <v>48500</v>
      </c>
      <c r="P80" s="372">
        <f>SUM('7. INVESTIMENTO FROTA'!O291,'7. INVESTIMENTO FROTA'!O306,'7. INVESTIMENTO FROTA'!O321)</f>
        <v>38800</v>
      </c>
      <c r="Q80" s="372">
        <f>SUM('7. INVESTIMENTO FROTA'!P291,'7. INVESTIMENTO FROTA'!P306,'7. INVESTIMENTO FROTA'!P321)</f>
        <v>77600</v>
      </c>
      <c r="R80" s="372">
        <f>SUM('7. INVESTIMENTO FROTA'!Q291,'7. INVESTIMENTO FROTA'!Q306,'7. INVESTIMENTO FROTA'!Q321)</f>
        <v>77600</v>
      </c>
      <c r="S80" s="372">
        <f>SUM('7. INVESTIMENTO FROTA'!R291,'7. INVESTIMENTO FROTA'!R306,'7. INVESTIMENTO FROTA'!R321)</f>
        <v>301800</v>
      </c>
      <c r="T80" s="372">
        <f>SUM('7. INVESTIMENTO FROTA'!S291,'7. INVESTIMENTO FROTA'!S306,'7. INVESTIMENTO FROTA'!S321)</f>
        <v>0</v>
      </c>
      <c r="U80" s="372">
        <f>SUM('7. INVESTIMENTO FROTA'!T291,'7. INVESTIMENTO FROTA'!T306,'7. INVESTIMENTO FROTA'!T321)</f>
        <v>0</v>
      </c>
      <c r="V80" s="380">
        <f>SUM('7. INVESTIMENTO FROTA'!U291,'7. INVESTIMENTO FROTA'!U306,'7. INVESTIMENTO FROTA'!U321)</f>
        <v>1855050</v>
      </c>
    </row>
    <row r="81" spans="1:22" ht="15.75">
      <c r="A81" s="388"/>
      <c r="B81" s="388"/>
      <c r="C81" s="286"/>
      <c r="D81" s="401" t="s">
        <v>455</v>
      </c>
      <c r="F81" s="372"/>
      <c r="G81" s="372">
        <f>(G80*$F$60)+IF(G80&gt;240000,G80*$F$61,0)</f>
        <v>0</v>
      </c>
      <c r="H81" s="372">
        <f t="shared" ref="H81:V81" si="33">(H80*$F$60)+IF(H80&gt;240000,H80*$F$61,0)</f>
        <v>30555</v>
      </c>
      <c r="I81" s="372">
        <f t="shared" si="33"/>
        <v>14550</v>
      </c>
      <c r="J81" s="372">
        <f t="shared" si="33"/>
        <v>11640</v>
      </c>
      <c r="K81" s="372">
        <f t="shared" si="33"/>
        <v>0</v>
      </c>
      <c r="L81" s="372">
        <f t="shared" si="33"/>
        <v>0</v>
      </c>
      <c r="M81" s="372">
        <f t="shared" si="33"/>
        <v>0</v>
      </c>
      <c r="N81" s="372">
        <f t="shared" si="33"/>
        <v>0</v>
      </c>
      <c r="O81" s="372">
        <f t="shared" si="33"/>
        <v>7275</v>
      </c>
      <c r="P81" s="372">
        <f t="shared" si="33"/>
        <v>5820</v>
      </c>
      <c r="Q81" s="372">
        <f t="shared" si="33"/>
        <v>11640</v>
      </c>
      <c r="R81" s="372">
        <f t="shared" si="33"/>
        <v>11640</v>
      </c>
      <c r="S81" s="372">
        <f t="shared" si="33"/>
        <v>75450</v>
      </c>
      <c r="T81" s="372">
        <f t="shared" si="33"/>
        <v>0</v>
      </c>
      <c r="U81" s="372">
        <f t="shared" si="33"/>
        <v>0</v>
      </c>
      <c r="V81" s="380">
        <f t="shared" si="33"/>
        <v>463762.5</v>
      </c>
    </row>
    <row r="82" spans="1:22" ht="16.5" thickBot="1">
      <c r="A82" s="388"/>
      <c r="B82" s="388"/>
      <c r="C82" s="286"/>
      <c r="D82" s="401"/>
    </row>
    <row r="83" spans="1:22" ht="18" customHeight="1" thickBot="1">
      <c r="A83" s="381" t="s">
        <v>332</v>
      </c>
      <c r="B83" s="381"/>
      <c r="C83" s="385" t="s">
        <v>357</v>
      </c>
      <c r="D83" s="290"/>
      <c r="E83" s="511"/>
      <c r="F83" s="302">
        <f t="shared" ref="F83:V83" si="34">F79+F74</f>
        <v>-1330500</v>
      </c>
      <c r="G83" s="302">
        <f t="shared" si="34"/>
        <v>0</v>
      </c>
      <c r="H83" s="302">
        <f t="shared" si="34"/>
        <v>-990855</v>
      </c>
      <c r="I83" s="302">
        <f t="shared" si="34"/>
        <v>-693550</v>
      </c>
      <c r="J83" s="302">
        <f t="shared" si="34"/>
        <v>-710040</v>
      </c>
      <c r="K83" s="302">
        <f t="shared" si="34"/>
        <v>-2400000</v>
      </c>
      <c r="L83" s="302">
        <f t="shared" si="34"/>
        <v>0</v>
      </c>
      <c r="M83" s="302">
        <f t="shared" si="34"/>
        <v>0</v>
      </c>
      <c r="N83" s="302">
        <f t="shared" si="34"/>
        <v>0</v>
      </c>
      <c r="O83" s="302">
        <f t="shared" si="34"/>
        <v>-346775</v>
      </c>
      <c r="P83" s="302">
        <f t="shared" si="34"/>
        <v>-355020</v>
      </c>
      <c r="Q83" s="302">
        <f t="shared" si="34"/>
        <v>-1098040</v>
      </c>
      <c r="R83" s="302">
        <f t="shared" si="34"/>
        <v>-710040</v>
      </c>
      <c r="S83" s="302">
        <f t="shared" si="34"/>
        <v>-2173650</v>
      </c>
      <c r="T83" s="302">
        <f t="shared" si="34"/>
        <v>0</v>
      </c>
      <c r="U83" s="302">
        <f t="shared" si="34"/>
        <v>0</v>
      </c>
      <c r="V83" s="311">
        <f t="shared" si="34"/>
        <v>1391287.5</v>
      </c>
    </row>
    <row r="84" spans="1:22" ht="5.0999999999999996" customHeight="1" thickBot="1">
      <c r="A84" s="387"/>
      <c r="B84" s="387"/>
      <c r="C84" s="286"/>
      <c r="D84" s="401"/>
    </row>
    <row r="85" spans="1:22" ht="15.75">
      <c r="A85" s="381"/>
      <c r="B85" s="381"/>
      <c r="C85" s="307" t="s">
        <v>252</v>
      </c>
      <c r="D85" s="512"/>
      <c r="E85" s="513"/>
      <c r="F85" s="303">
        <f>+F72+F83</f>
        <v>-1330500</v>
      </c>
      <c r="G85" s="316">
        <f t="shared" ref="G85:V85" si="35">G72+G83</f>
        <v>747460.77634722251</v>
      </c>
      <c r="H85" s="316">
        <f t="shared" si="35"/>
        <v>-247732.01235313737</v>
      </c>
      <c r="I85" s="316">
        <f t="shared" si="35"/>
        <v>100573.40924686263</v>
      </c>
      <c r="J85" s="316">
        <f t="shared" si="35"/>
        <v>144367.84047012473</v>
      </c>
      <c r="K85" s="316">
        <f t="shared" si="35"/>
        <v>-1523310.5364340465</v>
      </c>
      <c r="L85" s="316">
        <f t="shared" si="35"/>
        <v>876689.46356595354</v>
      </c>
      <c r="M85" s="316">
        <f t="shared" si="35"/>
        <v>858700.20575087331</v>
      </c>
      <c r="N85" s="316">
        <f t="shared" si="35"/>
        <v>789282.21067352931</v>
      </c>
      <c r="O85" s="316">
        <f t="shared" si="35"/>
        <v>417006.9998735293</v>
      </c>
      <c r="P85" s="316">
        <f t="shared" si="35"/>
        <v>274595.46755352931</v>
      </c>
      <c r="Q85" s="316">
        <f t="shared" si="35"/>
        <v>-391923.90004647069</v>
      </c>
      <c r="R85" s="316">
        <f t="shared" si="35"/>
        <v>47076.52155352931</v>
      </c>
      <c r="S85" s="316">
        <f t="shared" si="35"/>
        <v>-1296960.5364340465</v>
      </c>
      <c r="T85" s="316">
        <f t="shared" si="35"/>
        <v>876689.46356595354</v>
      </c>
      <c r="U85" s="317">
        <f t="shared" si="35"/>
        <v>871300.3099108733</v>
      </c>
      <c r="V85" s="317">
        <f t="shared" si="35"/>
        <v>1391287.5</v>
      </c>
    </row>
    <row r="86" spans="1:22" ht="15.75">
      <c r="A86" s="387"/>
      <c r="B86" s="387"/>
      <c r="C86" s="301" t="s">
        <v>253</v>
      </c>
      <c r="D86" s="404"/>
      <c r="E86" s="514"/>
      <c r="F86" s="304">
        <f>F85</f>
        <v>-1330500</v>
      </c>
      <c r="G86" s="318">
        <f>F86+G85</f>
        <v>-583039.22365277749</v>
      </c>
      <c r="H86" s="318">
        <f t="shared" ref="H86:V86" si="36">G86+H85</f>
        <v>-830771.23600591486</v>
      </c>
      <c r="I86" s="318">
        <f t="shared" si="36"/>
        <v>-730197.82675905223</v>
      </c>
      <c r="J86" s="318">
        <f t="shared" si="36"/>
        <v>-585829.9862889275</v>
      </c>
      <c r="K86" s="318">
        <f t="shared" si="36"/>
        <v>-2109140.522722974</v>
      </c>
      <c r="L86" s="318">
        <f t="shared" si="36"/>
        <v>-1232451.0591570204</v>
      </c>
      <c r="M86" s="318">
        <f t="shared" si="36"/>
        <v>-373750.8534061471</v>
      </c>
      <c r="N86" s="318">
        <f t="shared" si="36"/>
        <v>415531.35726738221</v>
      </c>
      <c r="O86" s="318">
        <f t="shared" si="36"/>
        <v>832538.35714091151</v>
      </c>
      <c r="P86" s="318">
        <f t="shared" si="36"/>
        <v>1107133.8246944407</v>
      </c>
      <c r="Q86" s="318">
        <f t="shared" si="36"/>
        <v>715209.92464797001</v>
      </c>
      <c r="R86" s="318">
        <f t="shared" si="36"/>
        <v>762286.44620149932</v>
      </c>
      <c r="S86" s="318">
        <f t="shared" si="36"/>
        <v>-534674.09023254714</v>
      </c>
      <c r="T86" s="318">
        <f t="shared" si="36"/>
        <v>342015.3733334064</v>
      </c>
      <c r="U86" s="319">
        <f t="shared" si="36"/>
        <v>1213315.6832442796</v>
      </c>
      <c r="V86" s="319">
        <f t="shared" si="36"/>
        <v>2604603.1832442796</v>
      </c>
    </row>
    <row r="87" spans="1:22" ht="15.75">
      <c r="A87" s="387"/>
      <c r="B87" s="387"/>
      <c r="C87" s="301" t="s">
        <v>254</v>
      </c>
      <c r="D87" s="404"/>
      <c r="E87" s="514"/>
      <c r="F87" s="305">
        <f>+F85</f>
        <v>-1330500</v>
      </c>
      <c r="G87" s="318">
        <f t="shared" ref="G87:U87" si="37">G85/((1+$F$92)^(G65-$F$65))</f>
        <v>692093.31143261341</v>
      </c>
      <c r="H87" s="318">
        <f t="shared" si="37"/>
        <v>-212390.27122182556</v>
      </c>
      <c r="I87" s="318">
        <f t="shared" si="37"/>
        <v>79838.414849475608</v>
      </c>
      <c r="J87" s="318">
        <f t="shared" si="37"/>
        <v>106114.67252929763</v>
      </c>
      <c r="K87" s="318">
        <f t="shared" si="37"/>
        <v>-1036739.5549614846</v>
      </c>
      <c r="L87" s="318">
        <f t="shared" si="37"/>
        <v>552463.07214770606</v>
      </c>
      <c r="M87" s="318">
        <f t="shared" si="37"/>
        <v>501043.32246525271</v>
      </c>
      <c r="N87" s="318">
        <f t="shared" si="37"/>
        <v>426424.61951784109</v>
      </c>
      <c r="O87" s="318">
        <f t="shared" si="37"/>
        <v>208607.3209733215</v>
      </c>
      <c r="P87" s="318">
        <f t="shared" si="37"/>
        <v>127190.83242836398</v>
      </c>
      <c r="Q87" s="318">
        <f t="shared" si="37"/>
        <v>-168089.44289470176</v>
      </c>
      <c r="R87" s="318">
        <f t="shared" si="37"/>
        <v>18694.734418101045</v>
      </c>
      <c r="S87" s="318">
        <f t="shared" si="37"/>
        <v>-476889.69762856048</v>
      </c>
      <c r="T87" s="318">
        <f t="shared" si="37"/>
        <v>298478.60771777568</v>
      </c>
      <c r="U87" s="319">
        <f t="shared" si="37"/>
        <v>274670.19523361203</v>
      </c>
      <c r="V87" s="319">
        <f>V85/((1+$F$92)^(U65-$F$65))</f>
        <v>438591.84359773062</v>
      </c>
    </row>
    <row r="88" spans="1:22" ht="16.5" thickBot="1">
      <c r="A88" s="387"/>
      <c r="B88" s="387"/>
      <c r="C88" s="308" t="s">
        <v>255</v>
      </c>
      <c r="D88" s="515"/>
      <c r="E88" s="516"/>
      <c r="F88" s="306">
        <f>F87</f>
        <v>-1330500</v>
      </c>
      <c r="G88" s="320">
        <f>F88+G87</f>
        <v>-638406.68856738659</v>
      </c>
      <c r="H88" s="320">
        <f>G88+H87</f>
        <v>-850796.95978921209</v>
      </c>
      <c r="I88" s="320">
        <f t="shared" ref="I88:U88" si="38">H88+I87</f>
        <v>-770958.54493973649</v>
      </c>
      <c r="J88" s="320">
        <f t="shared" si="38"/>
        <v>-664843.87241043884</v>
      </c>
      <c r="K88" s="320">
        <f t="shared" si="38"/>
        <v>-1701583.4273719233</v>
      </c>
      <c r="L88" s="320">
        <f t="shared" si="38"/>
        <v>-1149120.3552242173</v>
      </c>
      <c r="M88" s="320">
        <f t="shared" si="38"/>
        <v>-648077.03275896457</v>
      </c>
      <c r="N88" s="320">
        <f t="shared" si="38"/>
        <v>-221652.41324112349</v>
      </c>
      <c r="O88" s="320">
        <f t="shared" si="38"/>
        <v>-13045.092267801985</v>
      </c>
      <c r="P88" s="320">
        <f t="shared" si="38"/>
        <v>114145.740160562</v>
      </c>
      <c r="Q88" s="320">
        <f t="shared" si="38"/>
        <v>-53943.702734139762</v>
      </c>
      <c r="R88" s="320">
        <f t="shared" si="38"/>
        <v>-35248.968316038721</v>
      </c>
      <c r="S88" s="320">
        <f t="shared" si="38"/>
        <v>-512138.6659445992</v>
      </c>
      <c r="T88" s="320">
        <f t="shared" si="38"/>
        <v>-213660.05822682352</v>
      </c>
      <c r="U88" s="321">
        <f t="shared" si="38"/>
        <v>61010.137006788515</v>
      </c>
      <c r="V88" s="321">
        <f>U88+V87</f>
        <v>499601.98060451914</v>
      </c>
    </row>
    <row r="89" spans="1:22" ht="15.75" outlineLevel="1">
      <c r="A89" s="387"/>
      <c r="B89" s="387"/>
      <c r="C89" s="423" t="s">
        <v>370</v>
      </c>
      <c r="D89" s="404"/>
      <c r="E89" s="405"/>
      <c r="F89" s="422"/>
      <c r="G89" s="424" t="str">
        <f>IF(SIGN(F86)=SIGN(G86),"",ABS(F86)/(G86-F86)+F65)</f>
        <v/>
      </c>
      <c r="H89" s="424" t="str">
        <f t="shared" ref="H89:U89" si="39">IF(SIGN(G86)=SIGN(H86),"",ABS(G86)/(H86-G86)+G65)</f>
        <v/>
      </c>
      <c r="I89" s="424" t="str">
        <f t="shared" si="39"/>
        <v/>
      </c>
      <c r="J89" s="424" t="str">
        <f t="shared" si="39"/>
        <v/>
      </c>
      <c r="K89" s="424" t="str">
        <f t="shared" si="39"/>
        <v/>
      </c>
      <c r="L89" s="424" t="str">
        <f t="shared" si="39"/>
        <v/>
      </c>
      <c r="M89" s="424" t="str">
        <f t="shared" si="39"/>
        <v/>
      </c>
      <c r="N89" s="424"/>
      <c r="O89" s="424" t="str">
        <f t="shared" si="39"/>
        <v/>
      </c>
      <c r="P89" s="424" t="str">
        <f t="shared" si="39"/>
        <v/>
      </c>
      <c r="Q89" s="424" t="str">
        <f t="shared" si="39"/>
        <v/>
      </c>
      <c r="R89" s="424" t="str">
        <f t="shared" si="39"/>
        <v/>
      </c>
      <c r="S89" s="424"/>
      <c r="T89" s="424"/>
      <c r="U89" s="424" t="str">
        <f t="shared" si="39"/>
        <v/>
      </c>
      <c r="V89" s="424"/>
    </row>
    <row r="90" spans="1:22" ht="16.5" thickBot="1">
      <c r="A90" s="387"/>
      <c r="B90" s="387"/>
      <c r="C90" s="286"/>
      <c r="D90" s="425"/>
    </row>
    <row r="91" spans="1:22" ht="18" customHeight="1" thickBot="1">
      <c r="A91" s="387"/>
      <c r="B91" s="387"/>
      <c r="C91" s="286"/>
      <c r="D91" s="603" t="s">
        <v>256</v>
      </c>
      <c r="E91" s="604"/>
      <c r="F91" s="605"/>
      <c r="G91" s="658"/>
    </row>
    <row r="92" spans="1:22" ht="18.75">
      <c r="A92" s="387"/>
      <c r="B92" s="387"/>
      <c r="C92" s="517"/>
      <c r="D92" s="518" t="s">
        <v>454</v>
      </c>
      <c r="E92" s="412"/>
      <c r="F92" s="519">
        <v>0.08</v>
      </c>
      <c r="G92" s="658"/>
    </row>
    <row r="93" spans="1:22" ht="18.75">
      <c r="C93" s="517"/>
      <c r="D93" s="520" t="s">
        <v>452</v>
      </c>
      <c r="E93" s="413"/>
      <c r="F93" s="521">
        <v>3.95E-2</v>
      </c>
      <c r="G93" s="659"/>
    </row>
    <row r="94" spans="1:22" ht="18.75">
      <c r="C94" s="517"/>
      <c r="D94" s="520" t="s">
        <v>453</v>
      </c>
      <c r="E94" s="413"/>
      <c r="F94" s="522">
        <f>NPV($F$92,F85:V85)</f>
        <v>432512.68138294073</v>
      </c>
      <c r="G94" s="658"/>
    </row>
    <row r="95" spans="1:22" ht="19.5" thickBot="1">
      <c r="C95" s="517"/>
      <c r="D95" s="523"/>
      <c r="E95" s="414"/>
      <c r="F95" s="642">
        <f>ROUND(MAX(F89:V89),2)</f>
        <v>0</v>
      </c>
    </row>
  </sheetData>
  <mergeCells count="2">
    <mergeCell ref="C47:E47"/>
    <mergeCell ref="C9:E9"/>
  </mergeCells>
  <pageMargins left="0.51181102362204722" right="0.51181102362204722" top="0.78740157480314965" bottom="0.78740157480314965" header="0.31496062992125984" footer="0.31496062992125984"/>
  <pageSetup paperSize="9" scale="55" fitToHeight="2" orientation="landscape" verticalDpi="300" r:id="rId1"/>
  <rowBreaks count="1" manualBreakCount="1">
    <brk id="64" min="2" max="21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7"/>
  <sheetViews>
    <sheetView showGridLines="0" workbookViewId="0">
      <selection activeCell="C8" sqref="C8:J35"/>
    </sheetView>
  </sheetViews>
  <sheetFormatPr defaultRowHeight="12.75"/>
  <cols>
    <col min="1" max="1" width="4.85546875" style="480" customWidth="1"/>
    <col min="2" max="2" width="1.42578125" style="480" customWidth="1"/>
    <col min="3" max="3" width="41.5703125" style="480" customWidth="1"/>
    <col min="4" max="4" width="14.85546875" style="480" customWidth="1"/>
    <col min="5" max="5" width="18.42578125" style="480" customWidth="1"/>
    <col min="6" max="6" width="22.85546875" style="480" customWidth="1"/>
    <col min="7" max="7" width="18" style="480" bestFit="1" customWidth="1"/>
    <col min="8" max="8" width="11.5703125" style="480" bestFit="1" customWidth="1"/>
    <col min="9" max="9" width="10.85546875" style="480" customWidth="1"/>
    <col min="10" max="17" width="9.140625" style="480"/>
    <col min="18" max="18" width="12" style="480" customWidth="1"/>
    <col min="19" max="256" width="9.140625" style="480"/>
    <col min="257" max="257" width="4.85546875" style="480" customWidth="1"/>
    <col min="258" max="258" width="1.42578125" style="480" customWidth="1"/>
    <col min="259" max="259" width="41.5703125" style="480" customWidth="1"/>
    <col min="260" max="260" width="14.85546875" style="480" customWidth="1"/>
    <col min="261" max="261" width="13.5703125" style="480" customWidth="1"/>
    <col min="262" max="262" width="12.42578125" style="480" bestFit="1" customWidth="1"/>
    <col min="263" max="263" width="18" style="480" bestFit="1" customWidth="1"/>
    <col min="264" max="264" width="11.5703125" style="480" bestFit="1" customWidth="1"/>
    <col min="265" max="265" width="10.85546875" style="480" customWidth="1"/>
    <col min="266" max="273" width="9.140625" style="480"/>
    <col min="274" max="274" width="12" style="480" customWidth="1"/>
    <col min="275" max="512" width="9.140625" style="480"/>
    <col min="513" max="513" width="4.85546875" style="480" customWidth="1"/>
    <col min="514" max="514" width="1.42578125" style="480" customWidth="1"/>
    <col min="515" max="515" width="41.5703125" style="480" customWidth="1"/>
    <col min="516" max="516" width="14.85546875" style="480" customWidth="1"/>
    <col min="517" max="517" width="13.5703125" style="480" customWidth="1"/>
    <col min="518" max="518" width="12.42578125" style="480" bestFit="1" customWidth="1"/>
    <col min="519" max="519" width="18" style="480" bestFit="1" customWidth="1"/>
    <col min="520" max="520" width="11.5703125" style="480" bestFit="1" customWidth="1"/>
    <col min="521" max="521" width="10.85546875" style="480" customWidth="1"/>
    <col min="522" max="529" width="9.140625" style="480"/>
    <col min="530" max="530" width="12" style="480" customWidth="1"/>
    <col min="531" max="768" width="9.140625" style="480"/>
    <col min="769" max="769" width="4.85546875" style="480" customWidth="1"/>
    <col min="770" max="770" width="1.42578125" style="480" customWidth="1"/>
    <col min="771" max="771" width="41.5703125" style="480" customWidth="1"/>
    <col min="772" max="772" width="14.85546875" style="480" customWidth="1"/>
    <col min="773" max="773" width="13.5703125" style="480" customWidth="1"/>
    <col min="774" max="774" width="12.42578125" style="480" bestFit="1" customWidth="1"/>
    <col min="775" max="775" width="18" style="480" bestFit="1" customWidth="1"/>
    <col min="776" max="776" width="11.5703125" style="480" bestFit="1" customWidth="1"/>
    <col min="777" max="777" width="10.85546875" style="480" customWidth="1"/>
    <col min="778" max="785" width="9.140625" style="480"/>
    <col min="786" max="786" width="12" style="480" customWidth="1"/>
    <col min="787" max="1024" width="9.140625" style="480"/>
    <col min="1025" max="1025" width="4.85546875" style="480" customWidth="1"/>
    <col min="1026" max="1026" width="1.42578125" style="480" customWidth="1"/>
    <col min="1027" max="1027" width="41.5703125" style="480" customWidth="1"/>
    <col min="1028" max="1028" width="14.85546875" style="480" customWidth="1"/>
    <col min="1029" max="1029" width="13.5703125" style="480" customWidth="1"/>
    <col min="1030" max="1030" width="12.42578125" style="480" bestFit="1" customWidth="1"/>
    <col min="1031" max="1031" width="18" style="480" bestFit="1" customWidth="1"/>
    <col min="1032" max="1032" width="11.5703125" style="480" bestFit="1" customWidth="1"/>
    <col min="1033" max="1033" width="10.85546875" style="480" customWidth="1"/>
    <col min="1034" max="1041" width="9.140625" style="480"/>
    <col min="1042" max="1042" width="12" style="480" customWidth="1"/>
    <col min="1043" max="1280" width="9.140625" style="480"/>
    <col min="1281" max="1281" width="4.85546875" style="480" customWidth="1"/>
    <col min="1282" max="1282" width="1.42578125" style="480" customWidth="1"/>
    <col min="1283" max="1283" width="41.5703125" style="480" customWidth="1"/>
    <col min="1284" max="1284" width="14.85546875" style="480" customWidth="1"/>
    <col min="1285" max="1285" width="13.5703125" style="480" customWidth="1"/>
    <col min="1286" max="1286" width="12.42578125" style="480" bestFit="1" customWidth="1"/>
    <col min="1287" max="1287" width="18" style="480" bestFit="1" customWidth="1"/>
    <col min="1288" max="1288" width="11.5703125" style="480" bestFit="1" customWidth="1"/>
    <col min="1289" max="1289" width="10.85546875" style="480" customWidth="1"/>
    <col min="1290" max="1297" width="9.140625" style="480"/>
    <col min="1298" max="1298" width="12" style="480" customWidth="1"/>
    <col min="1299" max="1536" width="9.140625" style="480"/>
    <col min="1537" max="1537" width="4.85546875" style="480" customWidth="1"/>
    <col min="1538" max="1538" width="1.42578125" style="480" customWidth="1"/>
    <col min="1539" max="1539" width="41.5703125" style="480" customWidth="1"/>
    <col min="1540" max="1540" width="14.85546875" style="480" customWidth="1"/>
    <col min="1541" max="1541" width="13.5703125" style="480" customWidth="1"/>
    <col min="1542" max="1542" width="12.42578125" style="480" bestFit="1" customWidth="1"/>
    <col min="1543" max="1543" width="18" style="480" bestFit="1" customWidth="1"/>
    <col min="1544" max="1544" width="11.5703125" style="480" bestFit="1" customWidth="1"/>
    <col min="1545" max="1545" width="10.85546875" style="480" customWidth="1"/>
    <col min="1546" max="1553" width="9.140625" style="480"/>
    <col min="1554" max="1554" width="12" style="480" customWidth="1"/>
    <col min="1555" max="1792" width="9.140625" style="480"/>
    <col min="1793" max="1793" width="4.85546875" style="480" customWidth="1"/>
    <col min="1794" max="1794" width="1.42578125" style="480" customWidth="1"/>
    <col min="1795" max="1795" width="41.5703125" style="480" customWidth="1"/>
    <col min="1796" max="1796" width="14.85546875" style="480" customWidth="1"/>
    <col min="1797" max="1797" width="13.5703125" style="480" customWidth="1"/>
    <col min="1798" max="1798" width="12.42578125" style="480" bestFit="1" customWidth="1"/>
    <col min="1799" max="1799" width="18" style="480" bestFit="1" customWidth="1"/>
    <col min="1800" max="1800" width="11.5703125" style="480" bestFit="1" customWidth="1"/>
    <col min="1801" max="1801" width="10.85546875" style="480" customWidth="1"/>
    <col min="1802" max="1809" width="9.140625" style="480"/>
    <col min="1810" max="1810" width="12" style="480" customWidth="1"/>
    <col min="1811" max="2048" width="9.140625" style="480"/>
    <col min="2049" max="2049" width="4.85546875" style="480" customWidth="1"/>
    <col min="2050" max="2050" width="1.42578125" style="480" customWidth="1"/>
    <col min="2051" max="2051" width="41.5703125" style="480" customWidth="1"/>
    <col min="2052" max="2052" width="14.85546875" style="480" customWidth="1"/>
    <col min="2053" max="2053" width="13.5703125" style="480" customWidth="1"/>
    <col min="2054" max="2054" width="12.42578125" style="480" bestFit="1" customWidth="1"/>
    <col min="2055" max="2055" width="18" style="480" bestFit="1" customWidth="1"/>
    <col min="2056" max="2056" width="11.5703125" style="480" bestFit="1" customWidth="1"/>
    <col min="2057" max="2057" width="10.85546875" style="480" customWidth="1"/>
    <col min="2058" max="2065" width="9.140625" style="480"/>
    <col min="2066" max="2066" width="12" style="480" customWidth="1"/>
    <col min="2067" max="2304" width="9.140625" style="480"/>
    <col min="2305" max="2305" width="4.85546875" style="480" customWidth="1"/>
    <col min="2306" max="2306" width="1.42578125" style="480" customWidth="1"/>
    <col min="2307" max="2307" width="41.5703125" style="480" customWidth="1"/>
    <col min="2308" max="2308" width="14.85546875" style="480" customWidth="1"/>
    <col min="2309" max="2309" width="13.5703125" style="480" customWidth="1"/>
    <col min="2310" max="2310" width="12.42578125" style="480" bestFit="1" customWidth="1"/>
    <col min="2311" max="2311" width="18" style="480" bestFit="1" customWidth="1"/>
    <col min="2312" max="2312" width="11.5703125" style="480" bestFit="1" customWidth="1"/>
    <col min="2313" max="2313" width="10.85546875" style="480" customWidth="1"/>
    <col min="2314" max="2321" width="9.140625" style="480"/>
    <col min="2322" max="2322" width="12" style="480" customWidth="1"/>
    <col min="2323" max="2560" width="9.140625" style="480"/>
    <col min="2561" max="2561" width="4.85546875" style="480" customWidth="1"/>
    <col min="2562" max="2562" width="1.42578125" style="480" customWidth="1"/>
    <col min="2563" max="2563" width="41.5703125" style="480" customWidth="1"/>
    <col min="2564" max="2564" width="14.85546875" style="480" customWidth="1"/>
    <col min="2565" max="2565" width="13.5703125" style="480" customWidth="1"/>
    <col min="2566" max="2566" width="12.42578125" style="480" bestFit="1" customWidth="1"/>
    <col min="2567" max="2567" width="18" style="480" bestFit="1" customWidth="1"/>
    <col min="2568" max="2568" width="11.5703125" style="480" bestFit="1" customWidth="1"/>
    <col min="2569" max="2569" width="10.85546875" style="480" customWidth="1"/>
    <col min="2570" max="2577" width="9.140625" style="480"/>
    <col min="2578" max="2578" width="12" style="480" customWidth="1"/>
    <col min="2579" max="2816" width="9.140625" style="480"/>
    <col min="2817" max="2817" width="4.85546875" style="480" customWidth="1"/>
    <col min="2818" max="2818" width="1.42578125" style="480" customWidth="1"/>
    <col min="2819" max="2819" width="41.5703125" style="480" customWidth="1"/>
    <col min="2820" max="2820" width="14.85546875" style="480" customWidth="1"/>
    <col min="2821" max="2821" width="13.5703125" style="480" customWidth="1"/>
    <col min="2822" max="2822" width="12.42578125" style="480" bestFit="1" customWidth="1"/>
    <col min="2823" max="2823" width="18" style="480" bestFit="1" customWidth="1"/>
    <col min="2824" max="2824" width="11.5703125" style="480" bestFit="1" customWidth="1"/>
    <col min="2825" max="2825" width="10.85546875" style="480" customWidth="1"/>
    <col min="2826" max="2833" width="9.140625" style="480"/>
    <col min="2834" max="2834" width="12" style="480" customWidth="1"/>
    <col min="2835" max="3072" width="9.140625" style="480"/>
    <col min="3073" max="3073" width="4.85546875" style="480" customWidth="1"/>
    <col min="3074" max="3074" width="1.42578125" style="480" customWidth="1"/>
    <col min="3075" max="3075" width="41.5703125" style="480" customWidth="1"/>
    <col min="3076" max="3076" width="14.85546875" style="480" customWidth="1"/>
    <col min="3077" max="3077" width="13.5703125" style="480" customWidth="1"/>
    <col min="3078" max="3078" width="12.42578125" style="480" bestFit="1" customWidth="1"/>
    <col min="3079" max="3079" width="18" style="480" bestFit="1" customWidth="1"/>
    <col min="3080" max="3080" width="11.5703125" style="480" bestFit="1" customWidth="1"/>
    <col min="3081" max="3081" width="10.85546875" style="480" customWidth="1"/>
    <col min="3082" max="3089" width="9.140625" style="480"/>
    <col min="3090" max="3090" width="12" style="480" customWidth="1"/>
    <col min="3091" max="3328" width="9.140625" style="480"/>
    <col min="3329" max="3329" width="4.85546875" style="480" customWidth="1"/>
    <col min="3330" max="3330" width="1.42578125" style="480" customWidth="1"/>
    <col min="3331" max="3331" width="41.5703125" style="480" customWidth="1"/>
    <col min="3332" max="3332" width="14.85546875" style="480" customWidth="1"/>
    <col min="3333" max="3333" width="13.5703125" style="480" customWidth="1"/>
    <col min="3334" max="3334" width="12.42578125" style="480" bestFit="1" customWidth="1"/>
    <col min="3335" max="3335" width="18" style="480" bestFit="1" customWidth="1"/>
    <col min="3336" max="3336" width="11.5703125" style="480" bestFit="1" customWidth="1"/>
    <col min="3337" max="3337" width="10.85546875" style="480" customWidth="1"/>
    <col min="3338" max="3345" width="9.140625" style="480"/>
    <col min="3346" max="3346" width="12" style="480" customWidth="1"/>
    <col min="3347" max="3584" width="9.140625" style="480"/>
    <col min="3585" max="3585" width="4.85546875" style="480" customWidth="1"/>
    <col min="3586" max="3586" width="1.42578125" style="480" customWidth="1"/>
    <col min="3587" max="3587" width="41.5703125" style="480" customWidth="1"/>
    <col min="3588" max="3588" width="14.85546875" style="480" customWidth="1"/>
    <col min="3589" max="3589" width="13.5703125" style="480" customWidth="1"/>
    <col min="3590" max="3590" width="12.42578125" style="480" bestFit="1" customWidth="1"/>
    <col min="3591" max="3591" width="18" style="480" bestFit="1" customWidth="1"/>
    <col min="3592" max="3592" width="11.5703125" style="480" bestFit="1" customWidth="1"/>
    <col min="3593" max="3593" width="10.85546875" style="480" customWidth="1"/>
    <col min="3594" max="3601" width="9.140625" style="480"/>
    <col min="3602" max="3602" width="12" style="480" customWidth="1"/>
    <col min="3603" max="3840" width="9.140625" style="480"/>
    <col min="3841" max="3841" width="4.85546875" style="480" customWidth="1"/>
    <col min="3842" max="3842" width="1.42578125" style="480" customWidth="1"/>
    <col min="3843" max="3843" width="41.5703125" style="480" customWidth="1"/>
    <col min="3844" max="3844" width="14.85546875" style="480" customWidth="1"/>
    <col min="3845" max="3845" width="13.5703125" style="480" customWidth="1"/>
    <col min="3846" max="3846" width="12.42578125" style="480" bestFit="1" customWidth="1"/>
    <col min="3847" max="3847" width="18" style="480" bestFit="1" customWidth="1"/>
    <col min="3848" max="3848" width="11.5703125" style="480" bestFit="1" customWidth="1"/>
    <col min="3849" max="3849" width="10.85546875" style="480" customWidth="1"/>
    <col min="3850" max="3857" width="9.140625" style="480"/>
    <col min="3858" max="3858" width="12" style="480" customWidth="1"/>
    <col min="3859" max="4096" width="9.140625" style="480"/>
    <col min="4097" max="4097" width="4.85546875" style="480" customWidth="1"/>
    <col min="4098" max="4098" width="1.42578125" style="480" customWidth="1"/>
    <col min="4099" max="4099" width="41.5703125" style="480" customWidth="1"/>
    <col min="4100" max="4100" width="14.85546875" style="480" customWidth="1"/>
    <col min="4101" max="4101" width="13.5703125" style="480" customWidth="1"/>
    <col min="4102" max="4102" width="12.42578125" style="480" bestFit="1" customWidth="1"/>
    <col min="4103" max="4103" width="18" style="480" bestFit="1" customWidth="1"/>
    <col min="4104" max="4104" width="11.5703125" style="480" bestFit="1" customWidth="1"/>
    <col min="4105" max="4105" width="10.85546875" style="480" customWidth="1"/>
    <col min="4106" max="4113" width="9.140625" style="480"/>
    <col min="4114" max="4114" width="12" style="480" customWidth="1"/>
    <col min="4115" max="4352" width="9.140625" style="480"/>
    <col min="4353" max="4353" width="4.85546875" style="480" customWidth="1"/>
    <col min="4354" max="4354" width="1.42578125" style="480" customWidth="1"/>
    <col min="4355" max="4355" width="41.5703125" style="480" customWidth="1"/>
    <col min="4356" max="4356" width="14.85546875" style="480" customWidth="1"/>
    <col min="4357" max="4357" width="13.5703125" style="480" customWidth="1"/>
    <col min="4358" max="4358" width="12.42578125" style="480" bestFit="1" customWidth="1"/>
    <col min="4359" max="4359" width="18" style="480" bestFit="1" customWidth="1"/>
    <col min="4360" max="4360" width="11.5703125" style="480" bestFit="1" customWidth="1"/>
    <col min="4361" max="4361" width="10.85546875" style="480" customWidth="1"/>
    <col min="4362" max="4369" width="9.140625" style="480"/>
    <col min="4370" max="4370" width="12" style="480" customWidth="1"/>
    <col min="4371" max="4608" width="9.140625" style="480"/>
    <col min="4609" max="4609" width="4.85546875" style="480" customWidth="1"/>
    <col min="4610" max="4610" width="1.42578125" style="480" customWidth="1"/>
    <col min="4611" max="4611" width="41.5703125" style="480" customWidth="1"/>
    <col min="4612" max="4612" width="14.85546875" style="480" customWidth="1"/>
    <col min="4613" max="4613" width="13.5703125" style="480" customWidth="1"/>
    <col min="4614" max="4614" width="12.42578125" style="480" bestFit="1" customWidth="1"/>
    <col min="4615" max="4615" width="18" style="480" bestFit="1" customWidth="1"/>
    <col min="4616" max="4616" width="11.5703125" style="480" bestFit="1" customWidth="1"/>
    <col min="4617" max="4617" width="10.85546875" style="480" customWidth="1"/>
    <col min="4618" max="4625" width="9.140625" style="480"/>
    <col min="4626" max="4626" width="12" style="480" customWidth="1"/>
    <col min="4627" max="4864" width="9.140625" style="480"/>
    <col min="4865" max="4865" width="4.85546875" style="480" customWidth="1"/>
    <col min="4866" max="4866" width="1.42578125" style="480" customWidth="1"/>
    <col min="4867" max="4867" width="41.5703125" style="480" customWidth="1"/>
    <col min="4868" max="4868" width="14.85546875" style="480" customWidth="1"/>
    <col min="4869" max="4869" width="13.5703125" style="480" customWidth="1"/>
    <col min="4870" max="4870" width="12.42578125" style="480" bestFit="1" customWidth="1"/>
    <col min="4871" max="4871" width="18" style="480" bestFit="1" customWidth="1"/>
    <col min="4872" max="4872" width="11.5703125" style="480" bestFit="1" customWidth="1"/>
    <col min="4873" max="4873" width="10.85546875" style="480" customWidth="1"/>
    <col min="4874" max="4881" width="9.140625" style="480"/>
    <col min="4882" max="4882" width="12" style="480" customWidth="1"/>
    <col min="4883" max="5120" width="9.140625" style="480"/>
    <col min="5121" max="5121" width="4.85546875" style="480" customWidth="1"/>
    <col min="5122" max="5122" width="1.42578125" style="480" customWidth="1"/>
    <col min="5123" max="5123" width="41.5703125" style="480" customWidth="1"/>
    <col min="5124" max="5124" width="14.85546875" style="480" customWidth="1"/>
    <col min="5125" max="5125" width="13.5703125" style="480" customWidth="1"/>
    <col min="5126" max="5126" width="12.42578125" style="480" bestFit="1" customWidth="1"/>
    <col min="5127" max="5127" width="18" style="480" bestFit="1" customWidth="1"/>
    <col min="5128" max="5128" width="11.5703125" style="480" bestFit="1" customWidth="1"/>
    <col min="5129" max="5129" width="10.85546875" style="480" customWidth="1"/>
    <col min="5130" max="5137" width="9.140625" style="480"/>
    <col min="5138" max="5138" width="12" style="480" customWidth="1"/>
    <col min="5139" max="5376" width="9.140625" style="480"/>
    <col min="5377" max="5377" width="4.85546875" style="480" customWidth="1"/>
    <col min="5378" max="5378" width="1.42578125" style="480" customWidth="1"/>
    <col min="5379" max="5379" width="41.5703125" style="480" customWidth="1"/>
    <col min="5380" max="5380" width="14.85546875" style="480" customWidth="1"/>
    <col min="5381" max="5381" width="13.5703125" style="480" customWidth="1"/>
    <col min="5382" max="5382" width="12.42578125" style="480" bestFit="1" customWidth="1"/>
    <col min="5383" max="5383" width="18" style="480" bestFit="1" customWidth="1"/>
    <col min="5384" max="5384" width="11.5703125" style="480" bestFit="1" customWidth="1"/>
    <col min="5385" max="5385" width="10.85546875" style="480" customWidth="1"/>
    <col min="5386" max="5393" width="9.140625" style="480"/>
    <col min="5394" max="5394" width="12" style="480" customWidth="1"/>
    <col min="5395" max="5632" width="9.140625" style="480"/>
    <col min="5633" max="5633" width="4.85546875" style="480" customWidth="1"/>
    <col min="5634" max="5634" width="1.42578125" style="480" customWidth="1"/>
    <col min="5635" max="5635" width="41.5703125" style="480" customWidth="1"/>
    <col min="5636" max="5636" width="14.85546875" style="480" customWidth="1"/>
    <col min="5637" max="5637" width="13.5703125" style="480" customWidth="1"/>
    <col min="5638" max="5638" width="12.42578125" style="480" bestFit="1" customWidth="1"/>
    <col min="5639" max="5639" width="18" style="480" bestFit="1" customWidth="1"/>
    <col min="5640" max="5640" width="11.5703125" style="480" bestFit="1" customWidth="1"/>
    <col min="5641" max="5641" width="10.85546875" style="480" customWidth="1"/>
    <col min="5642" max="5649" width="9.140625" style="480"/>
    <col min="5650" max="5650" width="12" style="480" customWidth="1"/>
    <col min="5651" max="5888" width="9.140625" style="480"/>
    <col min="5889" max="5889" width="4.85546875" style="480" customWidth="1"/>
    <col min="5890" max="5890" width="1.42578125" style="480" customWidth="1"/>
    <col min="5891" max="5891" width="41.5703125" style="480" customWidth="1"/>
    <col min="5892" max="5892" width="14.85546875" style="480" customWidth="1"/>
    <col min="5893" max="5893" width="13.5703125" style="480" customWidth="1"/>
    <col min="5894" max="5894" width="12.42578125" style="480" bestFit="1" customWidth="1"/>
    <col min="5895" max="5895" width="18" style="480" bestFit="1" customWidth="1"/>
    <col min="5896" max="5896" width="11.5703125" style="480" bestFit="1" customWidth="1"/>
    <col min="5897" max="5897" width="10.85546875" style="480" customWidth="1"/>
    <col min="5898" max="5905" width="9.140625" style="480"/>
    <col min="5906" max="5906" width="12" style="480" customWidth="1"/>
    <col min="5907" max="6144" width="9.140625" style="480"/>
    <col min="6145" max="6145" width="4.85546875" style="480" customWidth="1"/>
    <col min="6146" max="6146" width="1.42578125" style="480" customWidth="1"/>
    <col min="6147" max="6147" width="41.5703125" style="480" customWidth="1"/>
    <col min="6148" max="6148" width="14.85546875" style="480" customWidth="1"/>
    <col min="6149" max="6149" width="13.5703125" style="480" customWidth="1"/>
    <col min="6150" max="6150" width="12.42578125" style="480" bestFit="1" customWidth="1"/>
    <col min="6151" max="6151" width="18" style="480" bestFit="1" customWidth="1"/>
    <col min="6152" max="6152" width="11.5703125" style="480" bestFit="1" customWidth="1"/>
    <col min="6153" max="6153" width="10.85546875" style="480" customWidth="1"/>
    <col min="6154" max="6161" width="9.140625" style="480"/>
    <col min="6162" max="6162" width="12" style="480" customWidth="1"/>
    <col min="6163" max="6400" width="9.140625" style="480"/>
    <col min="6401" max="6401" width="4.85546875" style="480" customWidth="1"/>
    <col min="6402" max="6402" width="1.42578125" style="480" customWidth="1"/>
    <col min="6403" max="6403" width="41.5703125" style="480" customWidth="1"/>
    <col min="6404" max="6404" width="14.85546875" style="480" customWidth="1"/>
    <col min="6405" max="6405" width="13.5703125" style="480" customWidth="1"/>
    <col min="6406" max="6406" width="12.42578125" style="480" bestFit="1" customWidth="1"/>
    <col min="6407" max="6407" width="18" style="480" bestFit="1" customWidth="1"/>
    <col min="6408" max="6408" width="11.5703125" style="480" bestFit="1" customWidth="1"/>
    <col min="6409" max="6409" width="10.85546875" style="480" customWidth="1"/>
    <col min="6410" max="6417" width="9.140625" style="480"/>
    <col min="6418" max="6418" width="12" style="480" customWidth="1"/>
    <col min="6419" max="6656" width="9.140625" style="480"/>
    <col min="6657" max="6657" width="4.85546875" style="480" customWidth="1"/>
    <col min="6658" max="6658" width="1.42578125" style="480" customWidth="1"/>
    <col min="6659" max="6659" width="41.5703125" style="480" customWidth="1"/>
    <col min="6660" max="6660" width="14.85546875" style="480" customWidth="1"/>
    <col min="6661" max="6661" width="13.5703125" style="480" customWidth="1"/>
    <col min="6662" max="6662" width="12.42578125" style="480" bestFit="1" customWidth="1"/>
    <col min="6663" max="6663" width="18" style="480" bestFit="1" customWidth="1"/>
    <col min="6664" max="6664" width="11.5703125" style="480" bestFit="1" customWidth="1"/>
    <col min="6665" max="6665" width="10.85546875" style="480" customWidth="1"/>
    <col min="6666" max="6673" width="9.140625" style="480"/>
    <col min="6674" max="6674" width="12" style="480" customWidth="1"/>
    <col min="6675" max="6912" width="9.140625" style="480"/>
    <col min="6913" max="6913" width="4.85546875" style="480" customWidth="1"/>
    <col min="6914" max="6914" width="1.42578125" style="480" customWidth="1"/>
    <col min="6915" max="6915" width="41.5703125" style="480" customWidth="1"/>
    <col min="6916" max="6916" width="14.85546875" style="480" customWidth="1"/>
    <col min="6917" max="6917" width="13.5703125" style="480" customWidth="1"/>
    <col min="6918" max="6918" width="12.42578125" style="480" bestFit="1" customWidth="1"/>
    <col min="6919" max="6919" width="18" style="480" bestFit="1" customWidth="1"/>
    <col min="6920" max="6920" width="11.5703125" style="480" bestFit="1" customWidth="1"/>
    <col min="6921" max="6921" width="10.85546875" style="480" customWidth="1"/>
    <col min="6922" max="6929" width="9.140625" style="480"/>
    <col min="6930" max="6930" width="12" style="480" customWidth="1"/>
    <col min="6931" max="7168" width="9.140625" style="480"/>
    <col min="7169" max="7169" width="4.85546875" style="480" customWidth="1"/>
    <col min="7170" max="7170" width="1.42578125" style="480" customWidth="1"/>
    <col min="7171" max="7171" width="41.5703125" style="480" customWidth="1"/>
    <col min="7172" max="7172" width="14.85546875" style="480" customWidth="1"/>
    <col min="7173" max="7173" width="13.5703125" style="480" customWidth="1"/>
    <col min="7174" max="7174" width="12.42578125" style="480" bestFit="1" customWidth="1"/>
    <col min="7175" max="7175" width="18" style="480" bestFit="1" customWidth="1"/>
    <col min="7176" max="7176" width="11.5703125" style="480" bestFit="1" customWidth="1"/>
    <col min="7177" max="7177" width="10.85546875" style="480" customWidth="1"/>
    <col min="7178" max="7185" width="9.140625" style="480"/>
    <col min="7186" max="7186" width="12" style="480" customWidth="1"/>
    <col min="7187" max="7424" width="9.140625" style="480"/>
    <col min="7425" max="7425" width="4.85546875" style="480" customWidth="1"/>
    <col min="7426" max="7426" width="1.42578125" style="480" customWidth="1"/>
    <col min="7427" max="7427" width="41.5703125" style="480" customWidth="1"/>
    <col min="7428" max="7428" width="14.85546875" style="480" customWidth="1"/>
    <col min="7429" max="7429" width="13.5703125" style="480" customWidth="1"/>
    <col min="7430" max="7430" width="12.42578125" style="480" bestFit="1" customWidth="1"/>
    <col min="7431" max="7431" width="18" style="480" bestFit="1" customWidth="1"/>
    <col min="7432" max="7432" width="11.5703125" style="480" bestFit="1" customWidth="1"/>
    <col min="7433" max="7433" width="10.85546875" style="480" customWidth="1"/>
    <col min="7434" max="7441" width="9.140625" style="480"/>
    <col min="7442" max="7442" width="12" style="480" customWidth="1"/>
    <col min="7443" max="7680" width="9.140625" style="480"/>
    <col min="7681" max="7681" width="4.85546875" style="480" customWidth="1"/>
    <col min="7682" max="7682" width="1.42578125" style="480" customWidth="1"/>
    <col min="7683" max="7683" width="41.5703125" style="480" customWidth="1"/>
    <col min="7684" max="7684" width="14.85546875" style="480" customWidth="1"/>
    <col min="7685" max="7685" width="13.5703125" style="480" customWidth="1"/>
    <col min="7686" max="7686" width="12.42578125" style="480" bestFit="1" customWidth="1"/>
    <col min="7687" max="7687" width="18" style="480" bestFit="1" customWidth="1"/>
    <col min="7688" max="7688" width="11.5703125" style="480" bestFit="1" customWidth="1"/>
    <col min="7689" max="7689" width="10.85546875" style="480" customWidth="1"/>
    <col min="7690" max="7697" width="9.140625" style="480"/>
    <col min="7698" max="7698" width="12" style="480" customWidth="1"/>
    <col min="7699" max="7936" width="9.140625" style="480"/>
    <col min="7937" max="7937" width="4.85546875" style="480" customWidth="1"/>
    <col min="7938" max="7938" width="1.42578125" style="480" customWidth="1"/>
    <col min="7939" max="7939" width="41.5703125" style="480" customWidth="1"/>
    <col min="7940" max="7940" width="14.85546875" style="480" customWidth="1"/>
    <col min="7941" max="7941" width="13.5703125" style="480" customWidth="1"/>
    <col min="7942" max="7942" width="12.42578125" style="480" bestFit="1" customWidth="1"/>
    <col min="7943" max="7943" width="18" style="480" bestFit="1" customWidth="1"/>
    <col min="7944" max="7944" width="11.5703125" style="480" bestFit="1" customWidth="1"/>
    <col min="7945" max="7945" width="10.85546875" style="480" customWidth="1"/>
    <col min="7946" max="7953" width="9.140625" style="480"/>
    <col min="7954" max="7954" width="12" style="480" customWidth="1"/>
    <col min="7955" max="8192" width="9.140625" style="480"/>
    <col min="8193" max="8193" width="4.85546875" style="480" customWidth="1"/>
    <col min="8194" max="8194" width="1.42578125" style="480" customWidth="1"/>
    <col min="8195" max="8195" width="41.5703125" style="480" customWidth="1"/>
    <col min="8196" max="8196" width="14.85546875" style="480" customWidth="1"/>
    <col min="8197" max="8197" width="13.5703125" style="480" customWidth="1"/>
    <col min="8198" max="8198" width="12.42578125" style="480" bestFit="1" customWidth="1"/>
    <col min="8199" max="8199" width="18" style="480" bestFit="1" customWidth="1"/>
    <col min="8200" max="8200" width="11.5703125" style="480" bestFit="1" customWidth="1"/>
    <col min="8201" max="8201" width="10.85546875" style="480" customWidth="1"/>
    <col min="8202" max="8209" width="9.140625" style="480"/>
    <col min="8210" max="8210" width="12" style="480" customWidth="1"/>
    <col min="8211" max="8448" width="9.140625" style="480"/>
    <col min="8449" max="8449" width="4.85546875" style="480" customWidth="1"/>
    <col min="8450" max="8450" width="1.42578125" style="480" customWidth="1"/>
    <col min="8451" max="8451" width="41.5703125" style="480" customWidth="1"/>
    <col min="8452" max="8452" width="14.85546875" style="480" customWidth="1"/>
    <col min="8453" max="8453" width="13.5703125" style="480" customWidth="1"/>
    <col min="8454" max="8454" width="12.42578125" style="480" bestFit="1" customWidth="1"/>
    <col min="8455" max="8455" width="18" style="480" bestFit="1" customWidth="1"/>
    <col min="8456" max="8456" width="11.5703125" style="480" bestFit="1" customWidth="1"/>
    <col min="8457" max="8457" width="10.85546875" style="480" customWidth="1"/>
    <col min="8458" max="8465" width="9.140625" style="480"/>
    <col min="8466" max="8466" width="12" style="480" customWidth="1"/>
    <col min="8467" max="8704" width="9.140625" style="480"/>
    <col min="8705" max="8705" width="4.85546875" style="480" customWidth="1"/>
    <col min="8706" max="8706" width="1.42578125" style="480" customWidth="1"/>
    <col min="8707" max="8707" width="41.5703125" style="480" customWidth="1"/>
    <col min="8708" max="8708" width="14.85546875" style="480" customWidth="1"/>
    <col min="8709" max="8709" width="13.5703125" style="480" customWidth="1"/>
    <col min="8710" max="8710" width="12.42578125" style="480" bestFit="1" customWidth="1"/>
    <col min="8711" max="8711" width="18" style="480" bestFit="1" customWidth="1"/>
    <col min="8712" max="8712" width="11.5703125" style="480" bestFit="1" customWidth="1"/>
    <col min="8713" max="8713" width="10.85546875" style="480" customWidth="1"/>
    <col min="8714" max="8721" width="9.140625" style="480"/>
    <col min="8722" max="8722" width="12" style="480" customWidth="1"/>
    <col min="8723" max="8960" width="9.140625" style="480"/>
    <col min="8961" max="8961" width="4.85546875" style="480" customWidth="1"/>
    <col min="8962" max="8962" width="1.42578125" style="480" customWidth="1"/>
    <col min="8963" max="8963" width="41.5703125" style="480" customWidth="1"/>
    <col min="8964" max="8964" width="14.85546875" style="480" customWidth="1"/>
    <col min="8965" max="8965" width="13.5703125" style="480" customWidth="1"/>
    <col min="8966" max="8966" width="12.42578125" style="480" bestFit="1" customWidth="1"/>
    <col min="8967" max="8967" width="18" style="480" bestFit="1" customWidth="1"/>
    <col min="8968" max="8968" width="11.5703125" style="480" bestFit="1" customWidth="1"/>
    <col min="8969" max="8969" width="10.85546875" style="480" customWidth="1"/>
    <col min="8970" max="8977" width="9.140625" style="480"/>
    <col min="8978" max="8978" width="12" style="480" customWidth="1"/>
    <col min="8979" max="9216" width="9.140625" style="480"/>
    <col min="9217" max="9217" width="4.85546875" style="480" customWidth="1"/>
    <col min="9218" max="9218" width="1.42578125" style="480" customWidth="1"/>
    <col min="9219" max="9219" width="41.5703125" style="480" customWidth="1"/>
    <col min="9220" max="9220" width="14.85546875" style="480" customWidth="1"/>
    <col min="9221" max="9221" width="13.5703125" style="480" customWidth="1"/>
    <col min="9222" max="9222" width="12.42578125" style="480" bestFit="1" customWidth="1"/>
    <col min="9223" max="9223" width="18" style="480" bestFit="1" customWidth="1"/>
    <col min="9224" max="9224" width="11.5703125" style="480" bestFit="1" customWidth="1"/>
    <col min="9225" max="9225" width="10.85546875" style="480" customWidth="1"/>
    <col min="9226" max="9233" width="9.140625" style="480"/>
    <col min="9234" max="9234" width="12" style="480" customWidth="1"/>
    <col min="9235" max="9472" width="9.140625" style="480"/>
    <col min="9473" max="9473" width="4.85546875" style="480" customWidth="1"/>
    <col min="9474" max="9474" width="1.42578125" style="480" customWidth="1"/>
    <col min="9475" max="9475" width="41.5703125" style="480" customWidth="1"/>
    <col min="9476" max="9476" width="14.85546875" style="480" customWidth="1"/>
    <col min="9477" max="9477" width="13.5703125" style="480" customWidth="1"/>
    <col min="9478" max="9478" width="12.42578125" style="480" bestFit="1" customWidth="1"/>
    <col min="9479" max="9479" width="18" style="480" bestFit="1" customWidth="1"/>
    <col min="9480" max="9480" width="11.5703125" style="480" bestFit="1" customWidth="1"/>
    <col min="9481" max="9481" width="10.85546875" style="480" customWidth="1"/>
    <col min="9482" max="9489" width="9.140625" style="480"/>
    <col min="9490" max="9490" width="12" style="480" customWidth="1"/>
    <col min="9491" max="9728" width="9.140625" style="480"/>
    <col min="9729" max="9729" width="4.85546875" style="480" customWidth="1"/>
    <col min="9730" max="9730" width="1.42578125" style="480" customWidth="1"/>
    <col min="9731" max="9731" width="41.5703125" style="480" customWidth="1"/>
    <col min="9732" max="9732" width="14.85546875" style="480" customWidth="1"/>
    <col min="9733" max="9733" width="13.5703125" style="480" customWidth="1"/>
    <col min="9734" max="9734" width="12.42578125" style="480" bestFit="1" customWidth="1"/>
    <col min="9735" max="9735" width="18" style="480" bestFit="1" customWidth="1"/>
    <col min="9736" max="9736" width="11.5703125" style="480" bestFit="1" customWidth="1"/>
    <col min="9737" max="9737" width="10.85546875" style="480" customWidth="1"/>
    <col min="9738" max="9745" width="9.140625" style="480"/>
    <col min="9746" max="9746" width="12" style="480" customWidth="1"/>
    <col min="9747" max="9984" width="9.140625" style="480"/>
    <col min="9985" max="9985" width="4.85546875" style="480" customWidth="1"/>
    <col min="9986" max="9986" width="1.42578125" style="480" customWidth="1"/>
    <col min="9987" max="9987" width="41.5703125" style="480" customWidth="1"/>
    <col min="9988" max="9988" width="14.85546875" style="480" customWidth="1"/>
    <col min="9989" max="9989" width="13.5703125" style="480" customWidth="1"/>
    <col min="9990" max="9990" width="12.42578125" style="480" bestFit="1" customWidth="1"/>
    <col min="9991" max="9991" width="18" style="480" bestFit="1" customWidth="1"/>
    <col min="9992" max="9992" width="11.5703125" style="480" bestFit="1" customWidth="1"/>
    <col min="9993" max="9993" width="10.85546875" style="480" customWidth="1"/>
    <col min="9994" max="10001" width="9.140625" style="480"/>
    <col min="10002" max="10002" width="12" style="480" customWidth="1"/>
    <col min="10003" max="10240" width="9.140625" style="480"/>
    <col min="10241" max="10241" width="4.85546875" style="480" customWidth="1"/>
    <col min="10242" max="10242" width="1.42578125" style="480" customWidth="1"/>
    <col min="10243" max="10243" width="41.5703125" style="480" customWidth="1"/>
    <col min="10244" max="10244" width="14.85546875" style="480" customWidth="1"/>
    <col min="10245" max="10245" width="13.5703125" style="480" customWidth="1"/>
    <col min="10246" max="10246" width="12.42578125" style="480" bestFit="1" customWidth="1"/>
    <col min="10247" max="10247" width="18" style="480" bestFit="1" customWidth="1"/>
    <col min="10248" max="10248" width="11.5703125" style="480" bestFit="1" customWidth="1"/>
    <col min="10249" max="10249" width="10.85546875" style="480" customWidth="1"/>
    <col min="10250" max="10257" width="9.140625" style="480"/>
    <col min="10258" max="10258" width="12" style="480" customWidth="1"/>
    <col min="10259" max="10496" width="9.140625" style="480"/>
    <col min="10497" max="10497" width="4.85546875" style="480" customWidth="1"/>
    <col min="10498" max="10498" width="1.42578125" style="480" customWidth="1"/>
    <col min="10499" max="10499" width="41.5703125" style="480" customWidth="1"/>
    <col min="10500" max="10500" width="14.85546875" style="480" customWidth="1"/>
    <col min="10501" max="10501" width="13.5703125" style="480" customWidth="1"/>
    <col min="10502" max="10502" width="12.42578125" style="480" bestFit="1" customWidth="1"/>
    <col min="10503" max="10503" width="18" style="480" bestFit="1" customWidth="1"/>
    <col min="10504" max="10504" width="11.5703125" style="480" bestFit="1" customWidth="1"/>
    <col min="10505" max="10505" width="10.85546875" style="480" customWidth="1"/>
    <col min="10506" max="10513" width="9.140625" style="480"/>
    <col min="10514" max="10514" width="12" style="480" customWidth="1"/>
    <col min="10515" max="10752" width="9.140625" style="480"/>
    <col min="10753" max="10753" width="4.85546875" style="480" customWidth="1"/>
    <col min="10754" max="10754" width="1.42578125" style="480" customWidth="1"/>
    <col min="10755" max="10755" width="41.5703125" style="480" customWidth="1"/>
    <col min="10756" max="10756" width="14.85546875" style="480" customWidth="1"/>
    <col min="10757" max="10757" width="13.5703125" style="480" customWidth="1"/>
    <col min="10758" max="10758" width="12.42578125" style="480" bestFit="1" customWidth="1"/>
    <col min="10759" max="10759" width="18" style="480" bestFit="1" customWidth="1"/>
    <col min="10760" max="10760" width="11.5703125" style="480" bestFit="1" customWidth="1"/>
    <col min="10761" max="10761" width="10.85546875" style="480" customWidth="1"/>
    <col min="10762" max="10769" width="9.140625" style="480"/>
    <col min="10770" max="10770" width="12" style="480" customWidth="1"/>
    <col min="10771" max="11008" width="9.140625" style="480"/>
    <col min="11009" max="11009" width="4.85546875" style="480" customWidth="1"/>
    <col min="11010" max="11010" width="1.42578125" style="480" customWidth="1"/>
    <col min="11011" max="11011" width="41.5703125" style="480" customWidth="1"/>
    <col min="11012" max="11012" width="14.85546875" style="480" customWidth="1"/>
    <col min="11013" max="11013" width="13.5703125" style="480" customWidth="1"/>
    <col min="11014" max="11014" width="12.42578125" style="480" bestFit="1" customWidth="1"/>
    <col min="11015" max="11015" width="18" style="480" bestFit="1" customWidth="1"/>
    <col min="11016" max="11016" width="11.5703125" style="480" bestFit="1" customWidth="1"/>
    <col min="11017" max="11017" width="10.85546875" style="480" customWidth="1"/>
    <col min="11018" max="11025" width="9.140625" style="480"/>
    <col min="11026" max="11026" width="12" style="480" customWidth="1"/>
    <col min="11027" max="11264" width="9.140625" style="480"/>
    <col min="11265" max="11265" width="4.85546875" style="480" customWidth="1"/>
    <col min="11266" max="11266" width="1.42578125" style="480" customWidth="1"/>
    <col min="11267" max="11267" width="41.5703125" style="480" customWidth="1"/>
    <col min="11268" max="11268" width="14.85546875" style="480" customWidth="1"/>
    <col min="11269" max="11269" width="13.5703125" style="480" customWidth="1"/>
    <col min="11270" max="11270" width="12.42578125" style="480" bestFit="1" customWidth="1"/>
    <col min="11271" max="11271" width="18" style="480" bestFit="1" customWidth="1"/>
    <col min="11272" max="11272" width="11.5703125" style="480" bestFit="1" customWidth="1"/>
    <col min="11273" max="11273" width="10.85546875" style="480" customWidth="1"/>
    <col min="11274" max="11281" width="9.140625" style="480"/>
    <col min="11282" max="11282" width="12" style="480" customWidth="1"/>
    <col min="11283" max="11520" width="9.140625" style="480"/>
    <col min="11521" max="11521" width="4.85546875" style="480" customWidth="1"/>
    <col min="11522" max="11522" width="1.42578125" style="480" customWidth="1"/>
    <col min="11523" max="11523" width="41.5703125" style="480" customWidth="1"/>
    <col min="11524" max="11524" width="14.85546875" style="480" customWidth="1"/>
    <col min="11525" max="11525" width="13.5703125" style="480" customWidth="1"/>
    <col min="11526" max="11526" width="12.42578125" style="480" bestFit="1" customWidth="1"/>
    <col min="11527" max="11527" width="18" style="480" bestFit="1" customWidth="1"/>
    <col min="11528" max="11528" width="11.5703125" style="480" bestFit="1" customWidth="1"/>
    <col min="11529" max="11529" width="10.85546875" style="480" customWidth="1"/>
    <col min="11530" max="11537" width="9.140625" style="480"/>
    <col min="11538" max="11538" width="12" style="480" customWidth="1"/>
    <col min="11539" max="11776" width="9.140625" style="480"/>
    <col min="11777" max="11777" width="4.85546875" style="480" customWidth="1"/>
    <col min="11778" max="11778" width="1.42578125" style="480" customWidth="1"/>
    <col min="11779" max="11779" width="41.5703125" style="480" customWidth="1"/>
    <col min="11780" max="11780" width="14.85546875" style="480" customWidth="1"/>
    <col min="11781" max="11781" width="13.5703125" style="480" customWidth="1"/>
    <col min="11782" max="11782" width="12.42578125" style="480" bestFit="1" customWidth="1"/>
    <col min="11783" max="11783" width="18" style="480" bestFit="1" customWidth="1"/>
    <col min="11784" max="11784" width="11.5703125" style="480" bestFit="1" customWidth="1"/>
    <col min="11785" max="11785" width="10.85546875" style="480" customWidth="1"/>
    <col min="11786" max="11793" width="9.140625" style="480"/>
    <col min="11794" max="11794" width="12" style="480" customWidth="1"/>
    <col min="11795" max="12032" width="9.140625" style="480"/>
    <col min="12033" max="12033" width="4.85546875" style="480" customWidth="1"/>
    <col min="12034" max="12034" width="1.42578125" style="480" customWidth="1"/>
    <col min="12035" max="12035" width="41.5703125" style="480" customWidth="1"/>
    <col min="12036" max="12036" width="14.85546875" style="480" customWidth="1"/>
    <col min="12037" max="12037" width="13.5703125" style="480" customWidth="1"/>
    <col min="12038" max="12038" width="12.42578125" style="480" bestFit="1" customWidth="1"/>
    <col min="12039" max="12039" width="18" style="480" bestFit="1" customWidth="1"/>
    <col min="12040" max="12040" width="11.5703125" style="480" bestFit="1" customWidth="1"/>
    <col min="12041" max="12041" width="10.85546875" style="480" customWidth="1"/>
    <col min="12042" max="12049" width="9.140625" style="480"/>
    <col min="12050" max="12050" width="12" style="480" customWidth="1"/>
    <col min="12051" max="12288" width="9.140625" style="480"/>
    <col min="12289" max="12289" width="4.85546875" style="480" customWidth="1"/>
    <col min="12290" max="12290" width="1.42578125" style="480" customWidth="1"/>
    <col min="12291" max="12291" width="41.5703125" style="480" customWidth="1"/>
    <col min="12292" max="12292" width="14.85546875" style="480" customWidth="1"/>
    <col min="12293" max="12293" width="13.5703125" style="480" customWidth="1"/>
    <col min="12294" max="12294" width="12.42578125" style="480" bestFit="1" customWidth="1"/>
    <col min="12295" max="12295" width="18" style="480" bestFit="1" customWidth="1"/>
    <col min="12296" max="12296" width="11.5703125" style="480" bestFit="1" customWidth="1"/>
    <col min="12297" max="12297" width="10.85546875" style="480" customWidth="1"/>
    <col min="12298" max="12305" width="9.140625" style="480"/>
    <col min="12306" max="12306" width="12" style="480" customWidth="1"/>
    <col min="12307" max="12544" width="9.140625" style="480"/>
    <col min="12545" max="12545" width="4.85546875" style="480" customWidth="1"/>
    <col min="12546" max="12546" width="1.42578125" style="480" customWidth="1"/>
    <col min="12547" max="12547" width="41.5703125" style="480" customWidth="1"/>
    <col min="12548" max="12548" width="14.85546875" style="480" customWidth="1"/>
    <col min="12549" max="12549" width="13.5703125" style="480" customWidth="1"/>
    <col min="12550" max="12550" width="12.42578125" style="480" bestFit="1" customWidth="1"/>
    <col min="12551" max="12551" width="18" style="480" bestFit="1" customWidth="1"/>
    <col min="12552" max="12552" width="11.5703125" style="480" bestFit="1" customWidth="1"/>
    <col min="12553" max="12553" width="10.85546875" style="480" customWidth="1"/>
    <col min="12554" max="12561" width="9.140625" style="480"/>
    <col min="12562" max="12562" width="12" style="480" customWidth="1"/>
    <col min="12563" max="12800" width="9.140625" style="480"/>
    <col min="12801" max="12801" width="4.85546875" style="480" customWidth="1"/>
    <col min="12802" max="12802" width="1.42578125" style="480" customWidth="1"/>
    <col min="12803" max="12803" width="41.5703125" style="480" customWidth="1"/>
    <col min="12804" max="12804" width="14.85546875" style="480" customWidth="1"/>
    <col min="12805" max="12805" width="13.5703125" style="480" customWidth="1"/>
    <col min="12806" max="12806" width="12.42578125" style="480" bestFit="1" customWidth="1"/>
    <col min="12807" max="12807" width="18" style="480" bestFit="1" customWidth="1"/>
    <col min="12808" max="12808" width="11.5703125" style="480" bestFit="1" customWidth="1"/>
    <col min="12809" max="12809" width="10.85546875" style="480" customWidth="1"/>
    <col min="12810" max="12817" width="9.140625" style="480"/>
    <col min="12818" max="12818" width="12" style="480" customWidth="1"/>
    <col min="12819" max="13056" width="9.140625" style="480"/>
    <col min="13057" max="13057" width="4.85546875" style="480" customWidth="1"/>
    <col min="13058" max="13058" width="1.42578125" style="480" customWidth="1"/>
    <col min="13059" max="13059" width="41.5703125" style="480" customWidth="1"/>
    <col min="13060" max="13060" width="14.85546875" style="480" customWidth="1"/>
    <col min="13061" max="13061" width="13.5703125" style="480" customWidth="1"/>
    <col min="13062" max="13062" width="12.42578125" style="480" bestFit="1" customWidth="1"/>
    <col min="13063" max="13063" width="18" style="480" bestFit="1" customWidth="1"/>
    <col min="13064" max="13064" width="11.5703125" style="480" bestFit="1" customWidth="1"/>
    <col min="13065" max="13065" width="10.85546875" style="480" customWidth="1"/>
    <col min="13066" max="13073" width="9.140625" style="480"/>
    <col min="13074" max="13074" width="12" style="480" customWidth="1"/>
    <col min="13075" max="13312" width="9.140625" style="480"/>
    <col min="13313" max="13313" width="4.85546875" style="480" customWidth="1"/>
    <col min="13314" max="13314" width="1.42578125" style="480" customWidth="1"/>
    <col min="13315" max="13315" width="41.5703125" style="480" customWidth="1"/>
    <col min="13316" max="13316" width="14.85546875" style="480" customWidth="1"/>
    <col min="13317" max="13317" width="13.5703125" style="480" customWidth="1"/>
    <col min="13318" max="13318" width="12.42578125" style="480" bestFit="1" customWidth="1"/>
    <col min="13319" max="13319" width="18" style="480" bestFit="1" customWidth="1"/>
    <col min="13320" max="13320" width="11.5703125" style="480" bestFit="1" customWidth="1"/>
    <col min="13321" max="13321" width="10.85546875" style="480" customWidth="1"/>
    <col min="13322" max="13329" width="9.140625" style="480"/>
    <col min="13330" max="13330" width="12" style="480" customWidth="1"/>
    <col min="13331" max="13568" width="9.140625" style="480"/>
    <col min="13569" max="13569" width="4.85546875" style="480" customWidth="1"/>
    <col min="13570" max="13570" width="1.42578125" style="480" customWidth="1"/>
    <col min="13571" max="13571" width="41.5703125" style="480" customWidth="1"/>
    <col min="13572" max="13572" width="14.85546875" style="480" customWidth="1"/>
    <col min="13573" max="13573" width="13.5703125" style="480" customWidth="1"/>
    <col min="13574" max="13574" width="12.42578125" style="480" bestFit="1" customWidth="1"/>
    <col min="13575" max="13575" width="18" style="480" bestFit="1" customWidth="1"/>
    <col min="13576" max="13576" width="11.5703125" style="480" bestFit="1" customWidth="1"/>
    <col min="13577" max="13577" width="10.85546875" style="480" customWidth="1"/>
    <col min="13578" max="13585" width="9.140625" style="480"/>
    <col min="13586" max="13586" width="12" style="480" customWidth="1"/>
    <col min="13587" max="13824" width="9.140625" style="480"/>
    <col min="13825" max="13825" width="4.85546875" style="480" customWidth="1"/>
    <col min="13826" max="13826" width="1.42578125" style="480" customWidth="1"/>
    <col min="13827" max="13827" width="41.5703125" style="480" customWidth="1"/>
    <col min="13828" max="13828" width="14.85546875" style="480" customWidth="1"/>
    <col min="13829" max="13829" width="13.5703125" style="480" customWidth="1"/>
    <col min="13830" max="13830" width="12.42578125" style="480" bestFit="1" customWidth="1"/>
    <col min="13831" max="13831" width="18" style="480" bestFit="1" customWidth="1"/>
    <col min="13832" max="13832" width="11.5703125" style="480" bestFit="1" customWidth="1"/>
    <col min="13833" max="13833" width="10.85546875" style="480" customWidth="1"/>
    <col min="13834" max="13841" width="9.140625" style="480"/>
    <col min="13842" max="13842" width="12" style="480" customWidth="1"/>
    <col min="13843" max="14080" width="9.140625" style="480"/>
    <col min="14081" max="14081" width="4.85546875" style="480" customWidth="1"/>
    <col min="14082" max="14082" width="1.42578125" style="480" customWidth="1"/>
    <col min="14083" max="14083" width="41.5703125" style="480" customWidth="1"/>
    <col min="14084" max="14084" width="14.85546875" style="480" customWidth="1"/>
    <col min="14085" max="14085" width="13.5703125" style="480" customWidth="1"/>
    <col min="14086" max="14086" width="12.42578125" style="480" bestFit="1" customWidth="1"/>
    <col min="14087" max="14087" width="18" style="480" bestFit="1" customWidth="1"/>
    <col min="14088" max="14088" width="11.5703125" style="480" bestFit="1" customWidth="1"/>
    <col min="14089" max="14089" width="10.85546875" style="480" customWidth="1"/>
    <col min="14090" max="14097" width="9.140625" style="480"/>
    <col min="14098" max="14098" width="12" style="480" customWidth="1"/>
    <col min="14099" max="14336" width="9.140625" style="480"/>
    <col min="14337" max="14337" width="4.85546875" style="480" customWidth="1"/>
    <col min="14338" max="14338" width="1.42578125" style="480" customWidth="1"/>
    <col min="14339" max="14339" width="41.5703125" style="480" customWidth="1"/>
    <col min="14340" max="14340" width="14.85546875" style="480" customWidth="1"/>
    <col min="14341" max="14341" width="13.5703125" style="480" customWidth="1"/>
    <col min="14342" max="14342" width="12.42578125" style="480" bestFit="1" customWidth="1"/>
    <col min="14343" max="14343" width="18" style="480" bestFit="1" customWidth="1"/>
    <col min="14344" max="14344" width="11.5703125" style="480" bestFit="1" customWidth="1"/>
    <col min="14345" max="14345" width="10.85546875" style="480" customWidth="1"/>
    <col min="14346" max="14353" width="9.140625" style="480"/>
    <col min="14354" max="14354" width="12" style="480" customWidth="1"/>
    <col min="14355" max="14592" width="9.140625" style="480"/>
    <col min="14593" max="14593" width="4.85546875" style="480" customWidth="1"/>
    <col min="14594" max="14594" width="1.42578125" style="480" customWidth="1"/>
    <col min="14595" max="14595" width="41.5703125" style="480" customWidth="1"/>
    <col min="14596" max="14596" width="14.85546875" style="480" customWidth="1"/>
    <col min="14597" max="14597" width="13.5703125" style="480" customWidth="1"/>
    <col min="14598" max="14598" width="12.42578125" style="480" bestFit="1" customWidth="1"/>
    <col min="14599" max="14599" width="18" style="480" bestFit="1" customWidth="1"/>
    <col min="14600" max="14600" width="11.5703125" style="480" bestFit="1" customWidth="1"/>
    <col min="14601" max="14601" width="10.85546875" style="480" customWidth="1"/>
    <col min="14602" max="14609" width="9.140625" style="480"/>
    <col min="14610" max="14610" width="12" style="480" customWidth="1"/>
    <col min="14611" max="14848" width="9.140625" style="480"/>
    <col min="14849" max="14849" width="4.85546875" style="480" customWidth="1"/>
    <col min="14850" max="14850" width="1.42578125" style="480" customWidth="1"/>
    <col min="14851" max="14851" width="41.5703125" style="480" customWidth="1"/>
    <col min="14852" max="14852" width="14.85546875" style="480" customWidth="1"/>
    <col min="14853" max="14853" width="13.5703125" style="480" customWidth="1"/>
    <col min="14854" max="14854" width="12.42578125" style="480" bestFit="1" customWidth="1"/>
    <col min="14855" max="14855" width="18" style="480" bestFit="1" customWidth="1"/>
    <col min="14856" max="14856" width="11.5703125" style="480" bestFit="1" customWidth="1"/>
    <col min="14857" max="14857" width="10.85546875" style="480" customWidth="1"/>
    <col min="14858" max="14865" width="9.140625" style="480"/>
    <col min="14866" max="14866" width="12" style="480" customWidth="1"/>
    <col min="14867" max="15104" width="9.140625" style="480"/>
    <col min="15105" max="15105" width="4.85546875" style="480" customWidth="1"/>
    <col min="15106" max="15106" width="1.42578125" style="480" customWidth="1"/>
    <col min="15107" max="15107" width="41.5703125" style="480" customWidth="1"/>
    <col min="15108" max="15108" width="14.85546875" style="480" customWidth="1"/>
    <col min="15109" max="15109" width="13.5703125" style="480" customWidth="1"/>
    <col min="15110" max="15110" width="12.42578125" style="480" bestFit="1" customWidth="1"/>
    <col min="15111" max="15111" width="18" style="480" bestFit="1" customWidth="1"/>
    <col min="15112" max="15112" width="11.5703125" style="480" bestFit="1" customWidth="1"/>
    <col min="15113" max="15113" width="10.85546875" style="480" customWidth="1"/>
    <col min="15114" max="15121" width="9.140625" style="480"/>
    <col min="15122" max="15122" width="12" style="480" customWidth="1"/>
    <col min="15123" max="15360" width="9.140625" style="480"/>
    <col min="15361" max="15361" width="4.85546875" style="480" customWidth="1"/>
    <col min="15362" max="15362" width="1.42578125" style="480" customWidth="1"/>
    <col min="15363" max="15363" width="41.5703125" style="480" customWidth="1"/>
    <col min="15364" max="15364" width="14.85546875" style="480" customWidth="1"/>
    <col min="15365" max="15365" width="13.5703125" style="480" customWidth="1"/>
    <col min="15366" max="15366" width="12.42578125" style="480" bestFit="1" customWidth="1"/>
    <col min="15367" max="15367" width="18" style="480" bestFit="1" customWidth="1"/>
    <col min="15368" max="15368" width="11.5703125" style="480" bestFit="1" customWidth="1"/>
    <col min="15369" max="15369" width="10.85546875" style="480" customWidth="1"/>
    <col min="15370" max="15377" width="9.140625" style="480"/>
    <col min="15378" max="15378" width="12" style="480" customWidth="1"/>
    <col min="15379" max="15616" width="9.140625" style="480"/>
    <col min="15617" max="15617" width="4.85546875" style="480" customWidth="1"/>
    <col min="15618" max="15618" width="1.42578125" style="480" customWidth="1"/>
    <col min="15619" max="15619" width="41.5703125" style="480" customWidth="1"/>
    <col min="15620" max="15620" width="14.85546875" style="480" customWidth="1"/>
    <col min="15621" max="15621" width="13.5703125" style="480" customWidth="1"/>
    <col min="15622" max="15622" width="12.42578125" style="480" bestFit="1" customWidth="1"/>
    <col min="15623" max="15623" width="18" style="480" bestFit="1" customWidth="1"/>
    <col min="15624" max="15624" width="11.5703125" style="480" bestFit="1" customWidth="1"/>
    <col min="15625" max="15625" width="10.85546875" style="480" customWidth="1"/>
    <col min="15626" max="15633" width="9.140625" style="480"/>
    <col min="15634" max="15634" width="12" style="480" customWidth="1"/>
    <col min="15635" max="15872" width="9.140625" style="480"/>
    <col min="15873" max="15873" width="4.85546875" style="480" customWidth="1"/>
    <col min="15874" max="15874" width="1.42578125" style="480" customWidth="1"/>
    <col min="15875" max="15875" width="41.5703125" style="480" customWidth="1"/>
    <col min="15876" max="15876" width="14.85546875" style="480" customWidth="1"/>
    <col min="15877" max="15877" width="13.5703125" style="480" customWidth="1"/>
    <col min="15878" max="15878" width="12.42578125" style="480" bestFit="1" customWidth="1"/>
    <col min="15879" max="15879" width="18" style="480" bestFit="1" customWidth="1"/>
    <col min="15880" max="15880" width="11.5703125" style="480" bestFit="1" customWidth="1"/>
    <col min="15881" max="15881" width="10.85546875" style="480" customWidth="1"/>
    <col min="15882" max="15889" width="9.140625" style="480"/>
    <col min="15890" max="15890" width="12" style="480" customWidth="1"/>
    <col min="15891" max="16128" width="9.140625" style="480"/>
    <col min="16129" max="16129" width="4.85546875" style="480" customWidth="1"/>
    <col min="16130" max="16130" width="1.42578125" style="480" customWidth="1"/>
    <col min="16131" max="16131" width="41.5703125" style="480" customWidth="1"/>
    <col min="16132" max="16132" width="14.85546875" style="480" customWidth="1"/>
    <col min="16133" max="16133" width="13.5703125" style="480" customWidth="1"/>
    <col min="16134" max="16134" width="12.42578125" style="480" bestFit="1" customWidth="1"/>
    <col min="16135" max="16135" width="18" style="480" bestFit="1" customWidth="1"/>
    <col min="16136" max="16136" width="11.5703125" style="480" bestFit="1" customWidth="1"/>
    <col min="16137" max="16137" width="10.85546875" style="480" customWidth="1"/>
    <col min="16138" max="16145" width="9.140625" style="480"/>
    <col min="16146" max="16146" width="12" style="480" customWidth="1"/>
    <col min="16147" max="16384" width="9.140625" style="480"/>
  </cols>
  <sheetData>
    <row r="1" spans="1:16" ht="15.75" thickBot="1">
      <c r="C1" s="448"/>
      <c r="D1" s="449"/>
      <c r="E1" s="448"/>
      <c r="F1" s="449"/>
      <c r="G1" s="449"/>
    </row>
    <row r="2" spans="1:16" s="494" customFormat="1" ht="15.75" thickTop="1">
      <c r="A2" s="493"/>
      <c r="B2" s="495"/>
      <c r="C2" s="496"/>
      <c r="D2" s="496"/>
      <c r="E2" s="451" t="s">
        <v>365</v>
      </c>
      <c r="F2" s="497"/>
      <c r="G2" s="497"/>
      <c r="H2" s="497"/>
      <c r="I2" s="497"/>
      <c r="J2" s="497"/>
      <c r="K2" s="497"/>
      <c r="L2" s="497"/>
      <c r="M2" s="498"/>
      <c r="N2" s="493"/>
      <c r="O2" s="493"/>
      <c r="P2" s="493"/>
    </row>
    <row r="3" spans="1:16" s="494" customFormat="1" ht="15">
      <c r="A3" s="493"/>
      <c r="B3" s="499"/>
      <c r="C3" s="405"/>
      <c r="D3" s="405"/>
      <c r="E3" s="403" t="str">
        <f>[1]MENU!$B$3&amp;"  -  "&amp;+[1]MENU!$B$4</f>
        <v>CONCORRÊNCIA Nº 003/18  -  0</v>
      </c>
      <c r="F3" s="450"/>
      <c r="G3" s="450"/>
      <c r="H3" s="450"/>
      <c r="I3" s="450"/>
      <c r="J3" s="450"/>
      <c r="K3" s="450"/>
      <c r="L3" s="450"/>
      <c r="M3" s="500"/>
      <c r="N3" s="493"/>
      <c r="O3" s="493"/>
      <c r="P3" s="493"/>
    </row>
    <row r="4" spans="1:16" s="494" customFormat="1" ht="15">
      <c r="A4" s="493"/>
      <c r="B4" s="499"/>
      <c r="C4" s="405"/>
      <c r="D4" s="405"/>
      <c r="E4" s="403" t="str">
        <f>+[1]MENU!$C$2</f>
        <v>ESTUDO TÉCNICO DE VIABILIDADE ECONÔMICA DA OPERAÇÃO DOS SERVIÇOS DE TRANSPORTE COLETIVO DA CIDADE DE AMPARO</v>
      </c>
      <c r="F4" s="450"/>
      <c r="G4" s="450"/>
      <c r="H4" s="450"/>
      <c r="I4" s="450"/>
      <c r="J4" s="450"/>
      <c r="K4" s="450"/>
      <c r="L4" s="450"/>
      <c r="M4" s="500"/>
      <c r="N4" s="493"/>
      <c r="O4" s="493"/>
      <c r="P4" s="493"/>
    </row>
    <row r="5" spans="1:16" s="494" customFormat="1" ht="15.75" thickBot="1">
      <c r="A5" s="493"/>
      <c r="B5" s="501"/>
      <c r="C5" s="502"/>
      <c r="D5" s="502"/>
      <c r="E5" s="452" t="str">
        <f>+[1]MENU!$C$3</f>
        <v>ANEXO V.1 - MODELO DE PLANILHA DE FLUXO DE CAIXA A SER PREENCHIDA - PROPOSTA DE PREÇO</v>
      </c>
      <c r="F5" s="503"/>
      <c r="G5" s="503"/>
      <c r="H5" s="503"/>
      <c r="I5" s="503"/>
      <c r="J5" s="503"/>
      <c r="K5" s="503"/>
      <c r="L5" s="503"/>
      <c r="M5" s="504"/>
      <c r="N5" s="493"/>
      <c r="O5" s="493"/>
      <c r="P5" s="493"/>
    </row>
    <row r="6" spans="1:16" ht="15.75" thickTop="1">
      <c r="C6" s="448"/>
      <c r="D6" s="449"/>
      <c r="E6" s="448"/>
      <c r="F6" s="449"/>
      <c r="G6" s="449"/>
    </row>
    <row r="8" spans="1:16" ht="15.75">
      <c r="C8" s="481" t="s">
        <v>530</v>
      </c>
    </row>
    <row r="10" spans="1:16" ht="20.25" customHeight="1">
      <c r="C10" s="643"/>
      <c r="D10" s="643" t="s">
        <v>529</v>
      </c>
    </row>
    <row r="11" spans="1:16" ht="18" customHeight="1">
      <c r="C11" s="644" t="s">
        <v>509</v>
      </c>
      <c r="D11" s="645">
        <f>+'12. FLUXO DE CAIXA'!F12</f>
        <v>3.95</v>
      </c>
    </row>
    <row r="13" spans="1:16" ht="15.75">
      <c r="C13" s="481" t="s">
        <v>479</v>
      </c>
    </row>
    <row r="14" spans="1:16">
      <c r="C14" s="483"/>
    </row>
    <row r="15" spans="1:16">
      <c r="C15" s="487" t="s">
        <v>528</v>
      </c>
      <c r="D15" s="482"/>
    </row>
    <row r="16" spans="1:16">
      <c r="D16" s="482"/>
    </row>
    <row r="17" spans="3:18" ht="12.75" customHeight="1">
      <c r="C17" s="734" t="s">
        <v>495</v>
      </c>
      <c r="D17" s="733" t="s">
        <v>480</v>
      </c>
      <c r="E17" s="732" t="s">
        <v>496</v>
      </c>
      <c r="F17" s="732" t="s">
        <v>494</v>
      </c>
      <c r="G17" s="732" t="s">
        <v>481</v>
      </c>
    </row>
    <row r="18" spans="3:18">
      <c r="C18" s="734"/>
      <c r="D18" s="733"/>
      <c r="E18" s="732"/>
      <c r="F18" s="732"/>
      <c r="G18" s="732"/>
    </row>
    <row r="19" spans="3:18" ht="15">
      <c r="C19" s="483" t="s">
        <v>482</v>
      </c>
      <c r="D19" s="646" t="s">
        <v>516</v>
      </c>
      <c r="E19" s="647">
        <f>+F19/12</f>
        <v>132158.5553029406</v>
      </c>
      <c r="F19" s="647">
        <f>+'12. FLUXO DE CAIXA'!X32</f>
        <v>1585902.6636352872</v>
      </c>
      <c r="G19" s="648">
        <f>ROUND(F19/F24,4)</f>
        <v>0.39939999999999998</v>
      </c>
    </row>
    <row r="20" spans="3:18" ht="15">
      <c r="C20" s="483" t="s">
        <v>483</v>
      </c>
      <c r="D20" s="646" t="s">
        <v>517</v>
      </c>
      <c r="E20" s="647">
        <f>+F20/12</f>
        <v>80970.108647687099</v>
      </c>
      <c r="F20" s="647">
        <f>+SUM('12. FLUXO DE CAIXA'!X26:X28)</f>
        <v>971641.30377224518</v>
      </c>
      <c r="G20" s="648">
        <f>ROUND(F20/F24,4)</f>
        <v>0.2447</v>
      </c>
    </row>
    <row r="21" spans="3:18" ht="15">
      <c r="C21" s="483" t="s">
        <v>484</v>
      </c>
      <c r="D21" s="646" t="s">
        <v>518</v>
      </c>
      <c r="E21" s="647">
        <f>+F21/12</f>
        <v>3928.431035281305</v>
      </c>
      <c r="F21" s="647">
        <f>+'12. FLUXO DE CAIXA'!X29</f>
        <v>47141.172423375661</v>
      </c>
      <c r="G21" s="648">
        <f>ROUND(F21/F24,4)</f>
        <v>1.1900000000000001E-2</v>
      </c>
    </row>
    <row r="22" spans="3:18" ht="15">
      <c r="C22" s="483" t="s">
        <v>485</v>
      </c>
      <c r="D22" s="646" t="s">
        <v>519</v>
      </c>
      <c r="E22" s="647">
        <f>+F22/12</f>
        <v>56395.176892592594</v>
      </c>
      <c r="F22" s="647">
        <f>+'12. FLUXO DE CAIXA'!X50</f>
        <v>676742.12271111109</v>
      </c>
      <c r="G22" s="648">
        <f>ROUND(F22/F24,4)</f>
        <v>0.17050000000000001</v>
      </c>
    </row>
    <row r="23" spans="3:18" ht="15">
      <c r="C23" s="483" t="s">
        <v>486</v>
      </c>
      <c r="D23" s="646" t="s">
        <v>520</v>
      </c>
      <c r="E23" s="660">
        <f>+F23/12</f>
        <v>57403.559166666666</v>
      </c>
      <c r="F23" s="660">
        <v>688842.71</v>
      </c>
      <c r="G23" s="661">
        <f>100%-SUM(G19:G22)</f>
        <v>0.17349999999999999</v>
      </c>
    </row>
    <row r="24" spans="3:18">
      <c r="C24" s="480" t="s">
        <v>487</v>
      </c>
      <c r="D24" s="482"/>
      <c r="E24" s="649">
        <f>+E19+E20+E21+E22+E23</f>
        <v>330855.83104516822</v>
      </c>
      <c r="F24" s="649">
        <f>+F19+F20+F21+F22+F23-0.01</f>
        <v>3970269.9625420198</v>
      </c>
      <c r="G24" s="648">
        <f>SUM(G19:G23)</f>
        <v>1</v>
      </c>
    </row>
    <row r="25" spans="3:18">
      <c r="D25" s="482"/>
    </row>
    <row r="26" spans="3:18">
      <c r="D26" s="482" t="s">
        <v>497</v>
      </c>
      <c r="E26" s="487" t="s">
        <v>498</v>
      </c>
      <c r="F26" s="491" t="s">
        <v>499</v>
      </c>
      <c r="G26" s="491" t="s">
        <v>500</v>
      </c>
      <c r="H26" s="487" t="s">
        <v>501</v>
      </c>
    </row>
    <row r="27" spans="3:18" ht="15">
      <c r="C27" s="484" t="s">
        <v>510</v>
      </c>
      <c r="D27" s="652">
        <f>ROUND(G19,4)</f>
        <v>0.39939999999999998</v>
      </c>
      <c r="E27" s="653">
        <f>ROUND(G20,4)</f>
        <v>0.2447</v>
      </c>
      <c r="F27" s="654">
        <f>ROUND(G21,4)</f>
        <v>1.1900000000000001E-2</v>
      </c>
      <c r="G27" s="655">
        <f>ROUND(+G22,4)</f>
        <v>0.17050000000000001</v>
      </c>
      <c r="H27" s="656">
        <f>100%-SUM(D27:G27)</f>
        <v>0.17349999999999999</v>
      </c>
      <c r="J27" s="485">
        <f>SUM(D27:H27)</f>
        <v>1</v>
      </c>
      <c r="K27" s="487"/>
      <c r="L27" s="487"/>
    </row>
    <row r="29" spans="3:18" ht="15">
      <c r="C29" s="486" t="s">
        <v>488</v>
      </c>
    </row>
    <row r="30" spans="3:18" ht="30.95" customHeight="1">
      <c r="C30" s="488" t="s">
        <v>314</v>
      </c>
      <c r="D30" s="651" t="s">
        <v>489</v>
      </c>
      <c r="E30" s="490"/>
      <c r="G30" s="489"/>
      <c r="H30" s="489"/>
      <c r="I30" s="489"/>
      <c r="J30" s="489"/>
      <c r="K30" s="489"/>
      <c r="L30" s="489"/>
      <c r="M30" s="489"/>
      <c r="N30" s="489"/>
      <c r="O30" s="489"/>
      <c r="P30" s="489"/>
      <c r="Q30" s="489"/>
      <c r="R30" s="489"/>
    </row>
    <row r="31" spans="3:18" ht="30.95" customHeight="1">
      <c r="C31" s="488" t="s">
        <v>511</v>
      </c>
      <c r="D31" s="736" t="s">
        <v>508</v>
      </c>
      <c r="E31" s="736"/>
      <c r="F31" s="736"/>
      <c r="G31" s="736"/>
      <c r="H31" s="736"/>
      <c r="I31" s="736"/>
      <c r="J31" s="736"/>
      <c r="K31" s="489"/>
      <c r="L31" s="489"/>
      <c r="M31" s="489"/>
      <c r="N31" s="489"/>
      <c r="O31" s="489"/>
      <c r="P31" s="489"/>
      <c r="Q31" s="489"/>
      <c r="R31" s="489"/>
    </row>
    <row r="32" spans="3:18" ht="30.95" customHeight="1">
      <c r="C32" s="488" t="s">
        <v>512</v>
      </c>
      <c r="D32" s="735" t="s">
        <v>502</v>
      </c>
      <c r="E32" s="735"/>
      <c r="F32" s="735"/>
      <c r="G32" s="735"/>
      <c r="H32" s="735"/>
      <c r="I32" s="735"/>
      <c r="J32" s="735"/>
      <c r="K32" s="489"/>
      <c r="L32" s="489"/>
      <c r="M32" s="489"/>
      <c r="N32" s="489"/>
      <c r="O32" s="489"/>
      <c r="P32" s="489"/>
      <c r="Q32" s="489"/>
      <c r="R32" s="489"/>
    </row>
    <row r="33" spans="3:18" ht="30.95" customHeight="1">
      <c r="C33" s="488" t="s">
        <v>513</v>
      </c>
      <c r="D33" s="735" t="s">
        <v>490</v>
      </c>
      <c r="E33" s="735"/>
      <c r="F33" s="735"/>
      <c r="G33" s="735"/>
      <c r="H33" s="735"/>
      <c r="I33" s="735"/>
      <c r="J33" s="735"/>
      <c r="K33" s="489"/>
      <c r="L33" s="489"/>
      <c r="M33" s="489"/>
      <c r="N33" s="489"/>
      <c r="O33" s="489"/>
      <c r="P33" s="489"/>
      <c r="Q33" s="489"/>
      <c r="R33" s="489"/>
    </row>
    <row r="34" spans="3:18" ht="30.95" customHeight="1">
      <c r="C34" s="488" t="s">
        <v>514</v>
      </c>
      <c r="D34" s="735" t="s">
        <v>491</v>
      </c>
      <c r="E34" s="735"/>
      <c r="F34" s="735"/>
      <c r="G34" s="735"/>
      <c r="H34" s="735"/>
      <c r="I34" s="735"/>
      <c r="J34" s="735"/>
      <c r="K34" s="489"/>
      <c r="L34" s="489"/>
      <c r="M34" s="489"/>
      <c r="N34" s="489"/>
      <c r="O34" s="489"/>
      <c r="P34" s="489"/>
      <c r="Q34" s="489"/>
      <c r="R34" s="489"/>
    </row>
    <row r="35" spans="3:18" ht="30.95" customHeight="1">
      <c r="C35" s="488" t="s">
        <v>515</v>
      </c>
      <c r="D35" s="736" t="s">
        <v>492</v>
      </c>
      <c r="E35" s="736"/>
      <c r="F35" s="736"/>
      <c r="G35" s="736"/>
      <c r="H35" s="736"/>
      <c r="I35" s="736"/>
      <c r="J35" s="736"/>
      <c r="K35" s="489"/>
      <c r="L35" s="489"/>
      <c r="M35" s="489"/>
      <c r="N35" s="489"/>
      <c r="O35" s="489"/>
      <c r="P35" s="489"/>
      <c r="Q35" s="489"/>
      <c r="R35" s="489"/>
    </row>
    <row r="36" spans="3:18">
      <c r="C36" s="650"/>
      <c r="F36" s="483"/>
      <c r="G36" s="483"/>
      <c r="H36" s="483"/>
      <c r="I36" s="483"/>
      <c r="J36" s="483"/>
      <c r="K36" s="483"/>
      <c r="L36" s="483"/>
      <c r="M36" s="483"/>
      <c r="N36" s="483"/>
      <c r="O36" s="483"/>
      <c r="P36" s="483"/>
      <c r="Q36" s="483"/>
      <c r="R36" s="483"/>
    </row>
    <row r="37" spans="3:18">
      <c r="C37" s="650"/>
    </row>
  </sheetData>
  <mergeCells count="10">
    <mergeCell ref="D32:J32"/>
    <mergeCell ref="D33:J33"/>
    <mergeCell ref="D34:J34"/>
    <mergeCell ref="D35:J35"/>
    <mergeCell ref="D31:J31"/>
    <mergeCell ref="F17:F18"/>
    <mergeCell ref="E17:E18"/>
    <mergeCell ref="D17:D18"/>
    <mergeCell ref="G17:G18"/>
    <mergeCell ref="C17:C18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Planilhas</vt:lpstr>
      </vt:variant>
      <vt:variant>
        <vt:i4>15</vt:i4>
      </vt:variant>
      <vt:variant>
        <vt:lpstr>Gráficos</vt:lpstr>
      </vt:variant>
      <vt:variant>
        <vt:i4>1</vt:i4>
      </vt:variant>
      <vt:variant>
        <vt:lpstr>Intervalos nomeados</vt:lpstr>
      </vt:variant>
      <vt:variant>
        <vt:i4>24</vt:i4>
      </vt:variant>
    </vt:vector>
  </HeadingPairs>
  <TitlesOfParts>
    <vt:vector size="40" baseType="lpstr">
      <vt:lpstr>MENU</vt:lpstr>
      <vt:lpstr>TIPOLOGIA</vt:lpstr>
      <vt:lpstr>1. DADOS OPERACIONAIS</vt:lpstr>
      <vt:lpstr>2. COEFICIENTES</vt:lpstr>
      <vt:lpstr>3. PREÇOS INSUMOS</vt:lpstr>
      <vt:lpstr>4. CUSTOS VARIÁVEIS</vt:lpstr>
      <vt:lpstr>5. CUSTOS FIXOS (PESSOAL)</vt:lpstr>
      <vt:lpstr>6. CUSTOS ADMINISTRATIVOS</vt:lpstr>
      <vt:lpstr>7. INVESTIMENTO FROTA</vt:lpstr>
      <vt:lpstr>8. DEPRECIAÇÃO DE FROTA</vt:lpstr>
      <vt:lpstr>9. ENCARGOS SOCIAIS</vt:lpstr>
      <vt:lpstr>10. TRIBUTAÇÃO E IMPOSTOS</vt:lpstr>
      <vt:lpstr>11. RECEITA ACESSORIA</vt:lpstr>
      <vt:lpstr>12. FLUXO DE CAIXA</vt:lpstr>
      <vt:lpstr>REAJUSTE FÓMULA</vt:lpstr>
      <vt:lpstr>Gráf1 - IDADE MÉDIA</vt:lpstr>
      <vt:lpstr>'1. DADOS OPERACIONAIS'!Area_de_impressao</vt:lpstr>
      <vt:lpstr>'10. TRIBUTAÇÃO E IMPOSTOS'!Area_de_impressao</vt:lpstr>
      <vt:lpstr>'11. RECEITA ACESSORIA'!Area_de_impressao</vt:lpstr>
      <vt:lpstr>'12. FLUXO DE CAIXA'!Area_de_impressao</vt:lpstr>
      <vt:lpstr>'2. COEFICIENTES'!Area_de_impressao</vt:lpstr>
      <vt:lpstr>'3. PREÇOS INSUMOS'!Area_de_impressao</vt:lpstr>
      <vt:lpstr>'4. CUSTOS VARIÁVEIS'!Area_de_impressao</vt:lpstr>
      <vt:lpstr>'5. CUSTOS FIXOS (PESSOAL)'!Area_de_impressao</vt:lpstr>
      <vt:lpstr>'6. CUSTOS ADMINISTRATIVOS'!Area_de_impressao</vt:lpstr>
      <vt:lpstr>'7. INVESTIMENTO FROTA'!Area_de_impressao</vt:lpstr>
      <vt:lpstr>'8. DEPRECIAÇÃO DE FROTA'!Area_de_impressao</vt:lpstr>
      <vt:lpstr>'9. ENCARGOS SOCIAIS'!Area_de_impressao</vt:lpstr>
      <vt:lpstr>MENU!Area_de_impressao</vt:lpstr>
      <vt:lpstr>'REAJUSTE FÓMULA'!Area_de_impressao</vt:lpstr>
      <vt:lpstr>TIPOLOGIA!Area_de_impressao</vt:lpstr>
      <vt:lpstr>'12. FLUXO DE CAIXA'!Titulos_de_impressao</vt:lpstr>
      <vt:lpstr>'2. COEFICIENTES'!Titulos_de_impressao</vt:lpstr>
      <vt:lpstr>'3. PREÇOS INSUMOS'!Titulos_de_impressao</vt:lpstr>
      <vt:lpstr>'4. CUSTOS VARIÁVEIS'!Titulos_de_impressao</vt:lpstr>
      <vt:lpstr>'5. CUSTOS FIXOS (PESSOAL)'!Titulos_de_impressao</vt:lpstr>
      <vt:lpstr>'6. CUSTOS ADMINISTRATIVOS'!Titulos_de_impressao</vt:lpstr>
      <vt:lpstr>'7. INVESTIMENTO FROTA'!Titulos_de_impressao</vt:lpstr>
      <vt:lpstr>'8. DEPRECIAÇÃO DE FROTA'!Titulos_de_impressao</vt:lpstr>
      <vt:lpstr>MENU!Titulos_de_impressao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xxxxxxx</dc:creator>
  <cp:lastModifiedBy>compras</cp:lastModifiedBy>
  <cp:lastPrinted>2019-10-31T14:32:16Z</cp:lastPrinted>
  <dcterms:created xsi:type="dcterms:W3CDTF">2019-09-10T17:45:34Z</dcterms:created>
  <dcterms:modified xsi:type="dcterms:W3CDTF">2020-07-07T19:06:23Z</dcterms:modified>
</cp:coreProperties>
</file>